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80" windowWidth="16380" windowHeight="8010" tabRatio="871"/>
  </bookViews>
  <sheets>
    <sheet name="Su imone_rangovu susije v." sheetId="7" r:id="rId1"/>
    <sheet name="Su statytoju susije v." sheetId="8" r:id="rId2"/>
    <sheet name="Su pr.vadovu susije v. " sheetId="9" r:id="rId3"/>
    <sheet name="Su proj.vald_komand sus.v." sheetId="10" r:id="rId4"/>
    <sheet name="Su projektu susije v. " sheetId="11" r:id="rId5"/>
    <sheet name="Instituciniai v." sheetId="12" r:id="rId6"/>
    <sheet name="Isoriniai  v." sheetId="13" r:id="rId7"/>
    <sheet name="Grupiu vertinimas" sheetId="15" r:id="rId8"/>
    <sheet name="Bendra ekspertu eile " sheetId="16" r:id="rId9"/>
  </sheets>
  <calcPr calcId="145621"/>
</workbook>
</file>

<file path=xl/calcChain.xml><?xml version="1.0" encoding="utf-8"?>
<calcChain xmlns="http://schemas.openxmlformats.org/spreadsheetml/2006/main">
  <c r="F2" i="16" l="1"/>
  <c r="O46" i="7"/>
  <c r="R32" i="7"/>
  <c r="L46" i="8"/>
  <c r="O29" i="8"/>
  <c r="T34" i="9"/>
  <c r="R24" i="10"/>
  <c r="W37" i="11"/>
  <c r="N28" i="15"/>
  <c r="K25" i="12"/>
  <c r="O29" i="13"/>
  <c r="D49" i="15"/>
  <c r="J49" i="15"/>
  <c r="I49" i="15"/>
  <c r="H49" i="15"/>
  <c r="G49" i="15"/>
  <c r="F49" i="15"/>
  <c r="E49" i="15"/>
  <c r="K44" i="15" l="1"/>
  <c r="D72" i="16" l="1"/>
  <c r="F72" i="16" s="1"/>
  <c r="D71" i="16"/>
  <c r="F71" i="16" s="1"/>
  <c r="D70" i="16"/>
  <c r="F70" i="16" s="1"/>
  <c r="D69" i="16"/>
  <c r="F69" i="16" s="1"/>
  <c r="D68" i="16"/>
  <c r="F68" i="16" s="1"/>
  <c r="D67" i="16"/>
  <c r="F67" i="16" s="1"/>
  <c r="D66" i="16"/>
  <c r="F66" i="16" s="1"/>
  <c r="D65" i="16"/>
  <c r="F65" i="16" s="1"/>
  <c r="D64" i="16"/>
  <c r="F64" i="16" s="1"/>
  <c r="D63" i="16"/>
  <c r="F63" i="16" s="1"/>
  <c r="D62" i="16"/>
  <c r="F62" i="16" s="1"/>
  <c r="D61" i="16"/>
  <c r="F61" i="16" s="1"/>
  <c r="D60" i="16"/>
  <c r="F60" i="16" s="1"/>
  <c r="D59" i="16"/>
  <c r="F59" i="16" s="1"/>
  <c r="D58" i="16"/>
  <c r="F58" i="16" s="1"/>
  <c r="D57" i="16"/>
  <c r="F57" i="16" s="1"/>
  <c r="D56" i="16"/>
  <c r="F56" i="16" s="1"/>
  <c r="D55" i="16"/>
  <c r="F55" i="16" s="1"/>
  <c r="D54" i="16"/>
  <c r="F54" i="16" s="1"/>
  <c r="D53" i="16"/>
  <c r="F53" i="16" s="1"/>
  <c r="D52" i="16"/>
  <c r="F52" i="16" s="1"/>
  <c r="D51" i="16"/>
  <c r="F51" i="16" s="1"/>
  <c r="D50" i="16"/>
  <c r="F50" i="16" s="1"/>
  <c r="D49" i="16"/>
  <c r="F49" i="16" s="1"/>
  <c r="D48" i="16"/>
  <c r="F48" i="16" s="1"/>
  <c r="D47" i="16"/>
  <c r="F47" i="16" s="1"/>
  <c r="D46" i="16"/>
  <c r="F46" i="16" s="1"/>
  <c r="D45" i="16"/>
  <c r="F45" i="16" s="1"/>
  <c r="D44" i="16"/>
  <c r="F44" i="16" s="1"/>
  <c r="D43" i="16"/>
  <c r="F43" i="16" s="1"/>
  <c r="D42" i="16"/>
  <c r="F42" i="16" s="1"/>
  <c r="D41" i="16"/>
  <c r="F41" i="16" s="1"/>
  <c r="D40" i="16"/>
  <c r="F40" i="16" s="1"/>
  <c r="D39" i="16"/>
  <c r="F39" i="16" s="1"/>
  <c r="D38" i="16"/>
  <c r="F38" i="16" s="1"/>
  <c r="D37" i="16"/>
  <c r="F37" i="16" s="1"/>
  <c r="D36" i="16"/>
  <c r="F36" i="16" s="1"/>
  <c r="D35" i="16"/>
  <c r="F35" i="16" s="1"/>
  <c r="D34" i="16"/>
  <c r="F34" i="16" s="1"/>
  <c r="D33" i="16"/>
  <c r="F33" i="16" s="1"/>
  <c r="D32" i="16"/>
  <c r="F32" i="16" s="1"/>
  <c r="D31" i="16"/>
  <c r="F31" i="16" s="1"/>
  <c r="D30" i="16"/>
  <c r="F30" i="16" s="1"/>
  <c r="D29" i="16"/>
  <c r="F29" i="16" s="1"/>
  <c r="D28" i="16"/>
  <c r="F28" i="16" s="1"/>
  <c r="D27" i="16"/>
  <c r="F27" i="16" s="1"/>
  <c r="D26" i="16"/>
  <c r="F26" i="16" s="1"/>
  <c r="D25" i="16"/>
  <c r="F25" i="16" s="1"/>
  <c r="D24" i="16"/>
  <c r="F24" i="16" s="1"/>
  <c r="D23" i="16"/>
  <c r="F23" i="16" s="1"/>
  <c r="D22" i="16"/>
  <c r="F22" i="16" s="1"/>
  <c r="D21" i="16"/>
  <c r="F21" i="16" s="1"/>
  <c r="D20" i="16"/>
  <c r="F20" i="16" s="1"/>
  <c r="D19" i="16"/>
  <c r="F19" i="16" s="1"/>
  <c r="D18" i="16"/>
  <c r="F18" i="16" s="1"/>
  <c r="D17" i="16"/>
  <c r="F17" i="16" s="1"/>
  <c r="D16" i="16"/>
  <c r="F16" i="16" s="1"/>
  <c r="D15" i="16"/>
  <c r="F15" i="16" s="1"/>
  <c r="D14" i="16"/>
  <c r="F14" i="16" s="1"/>
  <c r="D13" i="16"/>
  <c r="F13" i="16" s="1"/>
  <c r="D12" i="16"/>
  <c r="F12" i="16" s="1"/>
  <c r="D11" i="16"/>
  <c r="F11" i="16" s="1"/>
  <c r="D10" i="16"/>
  <c r="F10" i="16" s="1"/>
  <c r="D9" i="16"/>
  <c r="F9" i="16" s="1"/>
  <c r="D8" i="16"/>
  <c r="F8" i="16" s="1"/>
  <c r="D7" i="16"/>
  <c r="F7" i="16" s="1"/>
  <c r="D6" i="16"/>
  <c r="F6" i="16" s="1"/>
  <c r="D5" i="16"/>
  <c r="F5" i="16" s="1"/>
  <c r="D4" i="16"/>
  <c r="F4" i="16" s="1"/>
  <c r="D3" i="16"/>
  <c r="F3" i="16" s="1"/>
  <c r="D2" i="16"/>
  <c r="G43" i="7" l="1"/>
  <c r="K43" i="7"/>
  <c r="M43" i="7"/>
  <c r="S43" i="11"/>
  <c r="K43" i="13"/>
  <c r="N26" i="15"/>
  <c r="R30" i="7"/>
  <c r="O27" i="8"/>
  <c r="T32" i="9"/>
  <c r="R30" i="10"/>
  <c r="W35" i="11"/>
  <c r="K23" i="12"/>
  <c r="O27" i="13"/>
  <c r="E42" i="13"/>
  <c r="E43" i="13" s="1"/>
  <c r="F42" i="13"/>
  <c r="F43" i="13" s="1"/>
  <c r="G42" i="13"/>
  <c r="G43" i="13" s="1"/>
  <c r="H42" i="13"/>
  <c r="H43" i="13" s="1"/>
  <c r="I42" i="13"/>
  <c r="I43" i="13" s="1"/>
  <c r="J42" i="13"/>
  <c r="J43" i="13" s="1"/>
  <c r="K42" i="13"/>
  <c r="E42" i="15"/>
  <c r="E43" i="15" s="1"/>
  <c r="F42" i="15"/>
  <c r="F43" i="15" s="1"/>
  <c r="G42" i="15"/>
  <c r="G43" i="15" s="1"/>
  <c r="H42" i="15"/>
  <c r="H43" i="15" s="1"/>
  <c r="I42" i="15"/>
  <c r="I43" i="15" s="1"/>
  <c r="J42" i="15"/>
  <c r="J43" i="15" s="1"/>
  <c r="D42" i="15"/>
  <c r="K42" i="15" s="1"/>
  <c r="D43" i="15" l="1"/>
  <c r="K43" i="15" s="1"/>
  <c r="D42" i="13"/>
  <c r="D43" i="13" s="1"/>
  <c r="G42" i="12"/>
  <c r="G43" i="12" s="1"/>
  <c r="F42" i="12"/>
  <c r="F43" i="12" s="1"/>
  <c r="E42" i="12"/>
  <c r="E43" i="12" s="1"/>
  <c r="D42" i="12"/>
  <c r="D43" i="12" s="1"/>
  <c r="R42" i="11"/>
  <c r="R43" i="11" s="1"/>
  <c r="Q42" i="11"/>
  <c r="Q43" i="11" s="1"/>
  <c r="P42" i="11"/>
  <c r="P43" i="11" s="1"/>
  <c r="O42" i="11"/>
  <c r="O43" i="11" s="1"/>
  <c r="N42" i="11"/>
  <c r="N43" i="11" s="1"/>
  <c r="M42" i="11"/>
  <c r="M43" i="11" s="1"/>
  <c r="L42" i="11"/>
  <c r="L43" i="11" s="1"/>
  <c r="K42" i="11"/>
  <c r="K43" i="11" s="1"/>
  <c r="I42" i="11"/>
  <c r="I43" i="11" s="1"/>
  <c r="H42" i="11"/>
  <c r="H43" i="11" s="1"/>
  <c r="G42" i="11"/>
  <c r="G43" i="11" s="1"/>
  <c r="F42" i="11"/>
  <c r="F43" i="11" s="1"/>
  <c r="E42" i="11"/>
  <c r="E43" i="11" s="1"/>
  <c r="D42" i="11"/>
  <c r="D43" i="11" s="1"/>
  <c r="S42" i="11"/>
  <c r="J42" i="11"/>
  <c r="J43" i="11" s="1"/>
  <c r="N42" i="10"/>
  <c r="N43" i="10" s="1"/>
  <c r="M42" i="10"/>
  <c r="M43" i="10" s="1"/>
  <c r="L42" i="10"/>
  <c r="L43" i="10" s="1"/>
  <c r="K42" i="10"/>
  <c r="K43" i="10" s="1"/>
  <c r="J42" i="10"/>
  <c r="J43" i="10" s="1"/>
  <c r="I42" i="10"/>
  <c r="I43" i="10" s="1"/>
  <c r="H42" i="10"/>
  <c r="H43" i="10" s="1"/>
  <c r="G42" i="10"/>
  <c r="G43" i="10" s="1"/>
  <c r="F42" i="10"/>
  <c r="F43" i="10" s="1"/>
  <c r="E42" i="10"/>
  <c r="E43" i="10" s="1"/>
  <c r="D42" i="10"/>
  <c r="D43" i="10" s="1"/>
  <c r="P42" i="9"/>
  <c r="P43" i="9" s="1"/>
  <c r="O42" i="9"/>
  <c r="O43" i="9" s="1"/>
  <c r="N42" i="9"/>
  <c r="N43" i="9" s="1"/>
  <c r="M42" i="9"/>
  <c r="M43" i="9" s="1"/>
  <c r="L42" i="9"/>
  <c r="L43" i="9" s="1"/>
  <c r="K42" i="9"/>
  <c r="K43" i="9" s="1"/>
  <c r="J42" i="9"/>
  <c r="J43" i="9" s="1"/>
  <c r="I42" i="9"/>
  <c r="I43" i="9" s="1"/>
  <c r="H42" i="9"/>
  <c r="H43" i="9" s="1"/>
  <c r="G42" i="9"/>
  <c r="G43" i="9" s="1"/>
  <c r="F42" i="9"/>
  <c r="F43" i="9" s="1"/>
  <c r="E42" i="9"/>
  <c r="E43" i="9" s="1"/>
  <c r="D42" i="9"/>
  <c r="D43" i="9" s="1"/>
  <c r="K42" i="8"/>
  <c r="K43" i="8" s="1"/>
  <c r="J42" i="8"/>
  <c r="J43" i="8" s="1"/>
  <c r="I42" i="8"/>
  <c r="I43" i="8" s="1"/>
  <c r="H42" i="8"/>
  <c r="H43" i="8" s="1"/>
  <c r="G42" i="8"/>
  <c r="G43" i="8" s="1"/>
  <c r="F42" i="8"/>
  <c r="F43" i="8" s="1"/>
  <c r="E42" i="8"/>
  <c r="E43" i="8" s="1"/>
  <c r="D42" i="8"/>
  <c r="D43" i="8" s="1"/>
  <c r="N42" i="7"/>
  <c r="N43" i="7" s="1"/>
  <c r="M42" i="7"/>
  <c r="L42" i="7"/>
  <c r="L43" i="7" s="1"/>
  <c r="K42" i="7"/>
  <c r="J42" i="7"/>
  <c r="J43" i="7" s="1"/>
  <c r="I42" i="7"/>
  <c r="I43" i="7" s="1"/>
  <c r="H42" i="7"/>
  <c r="H43" i="7" s="1"/>
  <c r="G42" i="7"/>
  <c r="F42" i="7"/>
  <c r="F43" i="7" s="1"/>
  <c r="E42" i="7"/>
  <c r="E43" i="7" s="1"/>
  <c r="D42" i="7"/>
  <c r="D43" i="7" s="1"/>
  <c r="O97" i="7" l="1"/>
  <c r="Q97" i="9"/>
  <c r="O98" i="10"/>
  <c r="T97" i="11"/>
  <c r="O43" i="7" l="1"/>
  <c r="F44" i="7" s="1"/>
  <c r="F45" i="7" s="1"/>
  <c r="F46" i="7" s="1"/>
  <c r="O42" i="7"/>
  <c r="R24" i="7" s="1"/>
  <c r="W25" i="7" s="1"/>
  <c r="W26" i="7" s="1"/>
  <c r="L42" i="8"/>
  <c r="O21" i="8" s="1"/>
  <c r="S22" i="8" s="1"/>
  <c r="S23" i="8" s="1"/>
  <c r="L43" i="8"/>
  <c r="E44" i="8" s="1"/>
  <c r="E45" i="8" s="1"/>
  <c r="E46" i="8" s="1"/>
  <c r="E88" i="8" s="1"/>
  <c r="Q42" i="9"/>
  <c r="T26" i="9" s="1"/>
  <c r="X27" i="9" s="1"/>
  <c r="X28" i="9" s="1"/>
  <c r="Q43" i="9"/>
  <c r="L44" i="9" s="1"/>
  <c r="L45" i="9" s="1"/>
  <c r="L46" i="9" s="1"/>
  <c r="L86" i="9" s="1"/>
  <c r="O42" i="10"/>
  <c r="S25" i="10" s="1"/>
  <c r="S26" i="10" s="1"/>
  <c r="T42" i="11"/>
  <c r="W29" i="11" s="1"/>
  <c r="AJ30" i="11" s="1"/>
  <c r="AJ31" i="11" s="1"/>
  <c r="T43" i="11"/>
  <c r="M44" i="11" s="1"/>
  <c r="M45" i="11" s="1"/>
  <c r="L42" i="13"/>
  <c r="O21" i="13" s="1"/>
  <c r="U22" i="13" s="1"/>
  <c r="U23" i="13" s="1"/>
  <c r="H43" i="12"/>
  <c r="D44" i="12" s="1"/>
  <c r="D45" i="12" s="1"/>
  <c r="H42" i="12"/>
  <c r="K17" i="12" s="1"/>
  <c r="L97" i="8"/>
  <c r="D46" i="12" l="1"/>
  <c r="U22" i="8"/>
  <c r="U23" i="8" s="1"/>
  <c r="M46" i="11"/>
  <c r="M78" i="11" s="1"/>
  <c r="R22" i="13"/>
  <c r="R23" i="13" s="1"/>
  <c r="T22" i="8"/>
  <c r="T23" i="8" s="1"/>
  <c r="G44" i="11"/>
  <c r="G45" i="11" s="1"/>
  <c r="N44" i="7"/>
  <c r="N45" i="7" s="1"/>
  <c r="N46" i="7" s="1"/>
  <c r="AB25" i="7"/>
  <c r="AB26" i="7" s="1"/>
  <c r="J44" i="7"/>
  <c r="J45" i="7" s="1"/>
  <c r="J46" i="7" s="1"/>
  <c r="G44" i="7"/>
  <c r="G45" i="7" s="1"/>
  <c r="G46" i="7" s="1"/>
  <c r="I44" i="7"/>
  <c r="I45" i="7" s="1"/>
  <c r="I46" i="7" s="1"/>
  <c r="D44" i="7"/>
  <c r="D45" i="7" s="1"/>
  <c r="H44" i="7"/>
  <c r="H45" i="7" s="1"/>
  <c r="H46" i="7" s="1"/>
  <c r="E44" i="7"/>
  <c r="E45" i="7" s="1"/>
  <c r="E46" i="7" s="1"/>
  <c r="L44" i="7"/>
  <c r="L45" i="7" s="1"/>
  <c r="L46" i="7" s="1"/>
  <c r="K44" i="7"/>
  <c r="K45" i="7" s="1"/>
  <c r="K46" i="7" s="1"/>
  <c r="M44" i="7"/>
  <c r="M45" i="7" s="1"/>
  <c r="M46" i="7" s="1"/>
  <c r="V25" i="7"/>
  <c r="V26" i="7" s="1"/>
  <c r="X25" i="7"/>
  <c r="X26" i="7" s="1"/>
  <c r="Y25" i="7"/>
  <c r="Y26" i="7" s="1"/>
  <c r="S25" i="7"/>
  <c r="S26" i="7" s="1"/>
  <c r="R25" i="7"/>
  <c r="R26" i="7" s="1"/>
  <c r="U25" i="7"/>
  <c r="U26" i="7" s="1"/>
  <c r="AA25" i="7"/>
  <c r="AA26" i="7" s="1"/>
  <c r="T25" i="7"/>
  <c r="T26" i="7" s="1"/>
  <c r="Z25" i="7"/>
  <c r="Z26" i="7" s="1"/>
  <c r="P22" i="8"/>
  <c r="P23" i="8" s="1"/>
  <c r="O22" i="8"/>
  <c r="O23" i="8" s="1"/>
  <c r="Q22" i="8"/>
  <c r="Q23" i="8" s="1"/>
  <c r="R22" i="8"/>
  <c r="R23" i="8" s="1"/>
  <c r="V22" i="8"/>
  <c r="V23" i="8" s="1"/>
  <c r="D44" i="8"/>
  <c r="D45" i="8" s="1"/>
  <c r="K44" i="8"/>
  <c r="K45" i="8" s="1"/>
  <c r="K46" i="8" s="1"/>
  <c r="K88" i="8" s="1"/>
  <c r="H44" i="8"/>
  <c r="H45" i="8" s="1"/>
  <c r="H46" i="8" s="1"/>
  <c r="H88" i="8" s="1"/>
  <c r="G44" i="8"/>
  <c r="G45" i="8" s="1"/>
  <c r="G46" i="8" s="1"/>
  <c r="G88" i="8" s="1"/>
  <c r="I44" i="8"/>
  <c r="I45" i="8" s="1"/>
  <c r="I46" i="8" s="1"/>
  <c r="I88" i="8" s="1"/>
  <c r="F44" i="8"/>
  <c r="F45" i="8" s="1"/>
  <c r="F46" i="8" s="1"/>
  <c r="F88" i="8" s="1"/>
  <c r="J44" i="8"/>
  <c r="J45" i="8" s="1"/>
  <c r="J46" i="8" s="1"/>
  <c r="J88" i="8" s="1"/>
  <c r="D44" i="9"/>
  <c r="D45" i="9" s="1"/>
  <c r="E44" i="9"/>
  <c r="E45" i="9" s="1"/>
  <c r="E46" i="9" s="1"/>
  <c r="E86" i="9" s="1"/>
  <c r="H44" i="9"/>
  <c r="H45" i="9" s="1"/>
  <c r="H46" i="9" s="1"/>
  <c r="H86" i="9" s="1"/>
  <c r="J44" i="9"/>
  <c r="J45" i="9" s="1"/>
  <c r="J46" i="9" s="1"/>
  <c r="J86" i="9" s="1"/>
  <c r="P44" i="9"/>
  <c r="P45" i="9" s="1"/>
  <c r="P46" i="9" s="1"/>
  <c r="P86" i="9" s="1"/>
  <c r="O44" i="9"/>
  <c r="O45" i="9" s="1"/>
  <c r="O46" i="9" s="1"/>
  <c r="O86" i="9" s="1"/>
  <c r="F44" i="9"/>
  <c r="F45" i="9" s="1"/>
  <c r="F46" i="9" s="1"/>
  <c r="F86" i="9" s="1"/>
  <c r="K44" i="9"/>
  <c r="K45" i="9" s="1"/>
  <c r="K46" i="9" s="1"/>
  <c r="K86" i="9" s="1"/>
  <c r="N44" i="9"/>
  <c r="N45" i="9" s="1"/>
  <c r="N46" i="9" s="1"/>
  <c r="N86" i="9" s="1"/>
  <c r="I44" i="9"/>
  <c r="I45" i="9" s="1"/>
  <c r="I46" i="9" s="1"/>
  <c r="I86" i="9" s="1"/>
  <c r="M44" i="9"/>
  <c r="M45" i="9" s="1"/>
  <c r="M46" i="9" s="1"/>
  <c r="M86" i="9" s="1"/>
  <c r="G44" i="9"/>
  <c r="G45" i="9" s="1"/>
  <c r="G46" i="9" s="1"/>
  <c r="G86" i="9" s="1"/>
  <c r="AE27" i="9"/>
  <c r="AE28" i="9" s="1"/>
  <c r="Z27" i="9"/>
  <c r="Z28" i="9" s="1"/>
  <c r="Y27" i="9"/>
  <c r="Y28" i="9" s="1"/>
  <c r="T27" i="9"/>
  <c r="T28" i="9" s="1"/>
  <c r="U27" i="9"/>
  <c r="U28" i="9" s="1"/>
  <c r="AA27" i="9"/>
  <c r="AA28" i="9" s="1"/>
  <c r="V27" i="9"/>
  <c r="V28" i="9" s="1"/>
  <c r="AD27" i="9"/>
  <c r="AD28" i="9" s="1"/>
  <c r="AF27" i="9"/>
  <c r="AF28" i="9" s="1"/>
  <c r="W27" i="9"/>
  <c r="W28" i="9" s="1"/>
  <c r="AB27" i="9"/>
  <c r="AB28" i="9" s="1"/>
  <c r="AC27" i="9"/>
  <c r="AC28" i="9" s="1"/>
  <c r="Y25" i="10"/>
  <c r="Y26" i="10" s="1"/>
  <c r="V25" i="10"/>
  <c r="V26" i="10" s="1"/>
  <c r="X25" i="10"/>
  <c r="X26" i="10" s="1"/>
  <c r="T25" i="10"/>
  <c r="T26" i="10" s="1"/>
  <c r="W25" i="10"/>
  <c r="W26" i="10" s="1"/>
  <c r="AA25" i="10"/>
  <c r="AA26" i="10" s="1"/>
  <c r="R25" i="10"/>
  <c r="R26" i="10" s="1"/>
  <c r="Z25" i="10"/>
  <c r="Z26" i="10" s="1"/>
  <c r="AB25" i="10"/>
  <c r="AB26" i="10" s="1"/>
  <c r="U25" i="10"/>
  <c r="U26" i="10" s="1"/>
  <c r="O43" i="10"/>
  <c r="D44" i="10" s="1"/>
  <c r="D45" i="10" s="1"/>
  <c r="F44" i="11"/>
  <c r="F45" i="11" s="1"/>
  <c r="E44" i="11"/>
  <c r="E45" i="11" s="1"/>
  <c r="N44" i="11"/>
  <c r="N45" i="11" s="1"/>
  <c r="P44" i="11"/>
  <c r="P45" i="11" s="1"/>
  <c r="Q44" i="11"/>
  <c r="Q45" i="11" s="1"/>
  <c r="K44" i="11"/>
  <c r="K45" i="11" s="1"/>
  <c r="R44" i="11"/>
  <c r="R45" i="11" s="1"/>
  <c r="AB30" i="11"/>
  <c r="AB31" i="11" s="1"/>
  <c r="AD30" i="11"/>
  <c r="AD31" i="11" s="1"/>
  <c r="X30" i="11"/>
  <c r="X31" i="11" s="1"/>
  <c r="Z30" i="11"/>
  <c r="Z31" i="11" s="1"/>
  <c r="AC30" i="11"/>
  <c r="AC31" i="11" s="1"/>
  <c r="AA30" i="11"/>
  <c r="AA31" i="11" s="1"/>
  <c r="Y30" i="11"/>
  <c r="Y31" i="11" s="1"/>
  <c r="W30" i="11"/>
  <c r="W31" i="11" s="1"/>
  <c r="AK30" i="11"/>
  <c r="AK31" i="11" s="1"/>
  <c r="AL30" i="11"/>
  <c r="AL31" i="11" s="1"/>
  <c r="AI30" i="11"/>
  <c r="AI31" i="11" s="1"/>
  <c r="AF30" i="11"/>
  <c r="AF31" i="11" s="1"/>
  <c r="AG30" i="11"/>
  <c r="AG31" i="11" s="1"/>
  <c r="AH30" i="11"/>
  <c r="AH31" i="11" s="1"/>
  <c r="AE30" i="11"/>
  <c r="AE31" i="11" s="1"/>
  <c r="D44" i="11"/>
  <c r="D45" i="11" s="1"/>
  <c r="L44" i="11"/>
  <c r="L45" i="11" s="1"/>
  <c r="S44" i="11"/>
  <c r="I44" i="11"/>
  <c r="I45" i="11" s="1"/>
  <c r="J44" i="11"/>
  <c r="J45" i="11" s="1"/>
  <c r="O44" i="11"/>
  <c r="O45" i="11" s="1"/>
  <c r="H44" i="11"/>
  <c r="H45" i="11" s="1"/>
  <c r="V22" i="13"/>
  <c r="V23" i="13" s="1"/>
  <c r="O22" i="13"/>
  <c r="O23" i="13" s="1"/>
  <c r="S22" i="13"/>
  <c r="S23" i="13" s="1"/>
  <c r="Q22" i="13"/>
  <c r="Q23" i="13" s="1"/>
  <c r="P22" i="13"/>
  <c r="P23" i="13" s="1"/>
  <c r="T22" i="13"/>
  <c r="T23" i="13" s="1"/>
  <c r="L43" i="13"/>
  <c r="H44" i="13" s="1"/>
  <c r="N18" i="12"/>
  <c r="N19" i="12" s="1"/>
  <c r="K18" i="12"/>
  <c r="K19" i="12" s="1"/>
  <c r="M18" i="12"/>
  <c r="M19" i="12" s="1"/>
  <c r="L18" i="12"/>
  <c r="L19" i="12" s="1"/>
  <c r="G44" i="12"/>
  <c r="G45" i="12" s="1"/>
  <c r="G46" i="12" s="1"/>
  <c r="F44" i="12"/>
  <c r="F45" i="12" s="1"/>
  <c r="F46" i="12" s="1"/>
  <c r="E44" i="12"/>
  <c r="E45" i="12" s="1"/>
  <c r="E46" i="12" s="1"/>
  <c r="H46" i="12" l="1"/>
  <c r="H45" i="13"/>
  <c r="H45" i="12"/>
  <c r="D46" i="10"/>
  <c r="D46" i="9"/>
  <c r="Q45" i="9"/>
  <c r="D46" i="8"/>
  <c r="D88" i="8" s="1"/>
  <c r="L45" i="8"/>
  <c r="D46" i="7"/>
  <c r="O45" i="7"/>
  <c r="I46" i="11"/>
  <c r="I78" i="11" s="1"/>
  <c r="H46" i="11"/>
  <c r="H78" i="11" s="1"/>
  <c r="J46" i="11"/>
  <c r="J78" i="11" s="1"/>
  <c r="S45" i="11"/>
  <c r="S46" i="11" s="1"/>
  <c r="S78" i="11" s="1"/>
  <c r="R46" i="11"/>
  <c r="R78" i="11" s="1"/>
  <c r="Q46" i="11"/>
  <c r="Q78" i="11" s="1"/>
  <c r="N46" i="11"/>
  <c r="N78" i="11" s="1"/>
  <c r="F46" i="11"/>
  <c r="F78" i="11" s="1"/>
  <c r="G46" i="11"/>
  <c r="G78" i="11" s="1"/>
  <c r="O46" i="11"/>
  <c r="O78" i="11" s="1"/>
  <c r="L46" i="11"/>
  <c r="L78" i="11" s="1"/>
  <c r="K46" i="11"/>
  <c r="K78" i="11" s="1"/>
  <c r="P46" i="11"/>
  <c r="P78" i="11" s="1"/>
  <c r="E46" i="11"/>
  <c r="E78" i="11" s="1"/>
  <c r="K20" i="12"/>
  <c r="M49" i="7"/>
  <c r="E49" i="7"/>
  <c r="N49" i="7"/>
  <c r="L49" i="7"/>
  <c r="J49" i="7"/>
  <c r="H49" i="7"/>
  <c r="F49" i="7"/>
  <c r="D49" i="7"/>
  <c r="K49" i="7"/>
  <c r="I49" i="7"/>
  <c r="G49" i="7"/>
  <c r="G49" i="12"/>
  <c r="F49" i="12"/>
  <c r="O49" i="9"/>
  <c r="I49" i="9"/>
  <c r="E49" i="9"/>
  <c r="P49" i="9"/>
  <c r="N49" i="9"/>
  <c r="L49" i="9"/>
  <c r="J49" i="9"/>
  <c r="H49" i="9"/>
  <c r="F49" i="9"/>
  <c r="D49" i="9"/>
  <c r="M49" i="9"/>
  <c r="K49" i="9"/>
  <c r="G49" i="9"/>
  <c r="E49" i="12"/>
  <c r="D49" i="12"/>
  <c r="R49" i="11"/>
  <c r="P49" i="11"/>
  <c r="N49" i="11"/>
  <c r="J49" i="11"/>
  <c r="F49" i="11"/>
  <c r="S49" i="11"/>
  <c r="Q49" i="11"/>
  <c r="O49" i="11"/>
  <c r="M49" i="11"/>
  <c r="K49" i="11"/>
  <c r="I49" i="11"/>
  <c r="G49" i="11"/>
  <c r="E49" i="11"/>
  <c r="L49" i="11"/>
  <c r="H49" i="11"/>
  <c r="D49" i="11"/>
  <c r="R27" i="7"/>
  <c r="R28" i="7" s="1"/>
  <c r="R31" i="7" s="1"/>
  <c r="K49" i="8"/>
  <c r="I49" i="8"/>
  <c r="G49" i="8"/>
  <c r="E49" i="8"/>
  <c r="J49" i="8"/>
  <c r="H49" i="8"/>
  <c r="F49" i="8"/>
  <c r="D49" i="8"/>
  <c r="O24" i="8"/>
  <c r="O25" i="8" s="1"/>
  <c r="O28" i="8" s="1"/>
  <c r="T29" i="9"/>
  <c r="T30" i="9" s="1"/>
  <c r="T33" i="9" s="1"/>
  <c r="R27" i="10"/>
  <c r="R28" i="10" s="1"/>
  <c r="K44" i="10"/>
  <c r="K45" i="10" s="1"/>
  <c r="K46" i="10" s="1"/>
  <c r="E44" i="10"/>
  <c r="E45" i="10" s="1"/>
  <c r="E46" i="10" s="1"/>
  <c r="F44" i="10"/>
  <c r="F45" i="10" s="1"/>
  <c r="F46" i="10" s="1"/>
  <c r="H44" i="10"/>
  <c r="H45" i="10" s="1"/>
  <c r="H46" i="10" s="1"/>
  <c r="G44" i="10"/>
  <c r="G45" i="10" s="1"/>
  <c r="G46" i="10" s="1"/>
  <c r="M44" i="10"/>
  <c r="M45" i="10" s="1"/>
  <c r="M46" i="10" s="1"/>
  <c r="L44" i="10"/>
  <c r="L45" i="10" s="1"/>
  <c r="L46" i="10" s="1"/>
  <c r="J44" i="10"/>
  <c r="J45" i="10" s="1"/>
  <c r="J46" i="10" s="1"/>
  <c r="N44" i="10"/>
  <c r="N45" i="10" s="1"/>
  <c r="N46" i="10" s="1"/>
  <c r="I44" i="10"/>
  <c r="I45" i="10" s="1"/>
  <c r="I46" i="10" s="1"/>
  <c r="W32" i="11"/>
  <c r="W33" i="11" s="1"/>
  <c r="W36" i="11" s="1"/>
  <c r="O24" i="13"/>
  <c r="O25" i="13" s="1"/>
  <c r="O28" i="13" s="1"/>
  <c r="I44" i="13"/>
  <c r="K44" i="13"/>
  <c r="G44" i="13"/>
  <c r="E44" i="13"/>
  <c r="J44" i="13"/>
  <c r="F44" i="13"/>
  <c r="D44" i="13"/>
  <c r="D45" i="13" s="1"/>
  <c r="K21" i="12"/>
  <c r="K24" i="12" s="1"/>
  <c r="R31" i="10" l="1"/>
  <c r="R32" i="10"/>
  <c r="D86" i="9"/>
  <c r="Q46" i="9"/>
  <c r="O46" i="10"/>
  <c r="K45" i="13"/>
  <c r="G45" i="13"/>
  <c r="F45" i="13"/>
  <c r="J45" i="13"/>
  <c r="I45" i="13"/>
  <c r="E45" i="13"/>
  <c r="E48" i="12"/>
  <c r="O45" i="10"/>
  <c r="T45" i="11"/>
  <c r="D46" i="11"/>
  <c r="K49" i="13"/>
  <c r="I49" i="10"/>
  <c r="M49" i="10"/>
  <c r="F49" i="10"/>
  <c r="J49" i="10"/>
  <c r="N49" i="10"/>
  <c r="E49" i="10"/>
  <c r="K49" i="10"/>
  <c r="D49" i="10"/>
  <c r="H49" i="10"/>
  <c r="L49" i="10"/>
  <c r="G49" i="10"/>
  <c r="J48" i="7"/>
  <c r="G48" i="7"/>
  <c r="M48" i="7"/>
  <c r="F48" i="7"/>
  <c r="D48" i="7"/>
  <c r="E48" i="7"/>
  <c r="H48" i="7"/>
  <c r="L48" i="7"/>
  <c r="K48" i="7"/>
  <c r="I48" i="7"/>
  <c r="N48" i="7"/>
  <c r="J48" i="8"/>
  <c r="I48" i="8"/>
  <c r="K48" i="8"/>
  <c r="D48" i="8"/>
  <c r="F48" i="8"/>
  <c r="E48" i="8"/>
  <c r="G48" i="8"/>
  <c r="H48" i="8"/>
  <c r="H48" i="9"/>
  <c r="I48" i="9"/>
  <c r="J48" i="9"/>
  <c r="F48" i="9"/>
  <c r="P48" i="9"/>
  <c r="G48" i="9"/>
  <c r="O48" i="9"/>
  <c r="D48" i="9"/>
  <c r="E48" i="9"/>
  <c r="L48" i="9"/>
  <c r="K48" i="9"/>
  <c r="M48" i="9"/>
  <c r="N48" i="9"/>
  <c r="E48" i="11"/>
  <c r="Q48" i="11"/>
  <c r="F48" i="11"/>
  <c r="R48" i="11"/>
  <c r="I48" i="11"/>
  <c r="D48" i="11"/>
  <c r="L48" i="11"/>
  <c r="N48" i="11"/>
  <c r="M48" i="11"/>
  <c r="P48" i="11"/>
  <c r="O48" i="11"/>
  <c r="S48" i="11"/>
  <c r="G48" i="11"/>
  <c r="K48" i="11"/>
  <c r="H48" i="11"/>
  <c r="J48" i="11"/>
  <c r="I49" i="13"/>
  <c r="D49" i="13"/>
  <c r="F49" i="13"/>
  <c r="J49" i="13"/>
  <c r="H49" i="13"/>
  <c r="G49" i="13"/>
  <c r="E49" i="13"/>
  <c r="D48" i="12"/>
  <c r="F48" i="12"/>
  <c r="G48" i="12"/>
  <c r="D78" i="11" l="1"/>
  <c r="T46" i="11"/>
  <c r="L45" i="13"/>
  <c r="F46" i="13" s="1"/>
  <c r="E48" i="10"/>
  <c r="J48" i="10"/>
  <c r="H48" i="10"/>
  <c r="F48" i="10"/>
  <c r="D48" i="10"/>
  <c r="G48" i="10"/>
  <c r="K48" i="10"/>
  <c r="L48" i="10"/>
  <c r="N48" i="10"/>
  <c r="I48" i="10"/>
  <c r="M48" i="10"/>
  <c r="H48" i="13"/>
  <c r="F48" i="13"/>
  <c r="D48" i="13"/>
  <c r="K48" i="13"/>
  <c r="J48" i="13"/>
  <c r="E48" i="13"/>
  <c r="I48" i="13"/>
  <c r="G48" i="13"/>
  <c r="J46" i="13" l="1"/>
  <c r="K46" i="13"/>
  <c r="I46" i="13"/>
  <c r="D46" i="13"/>
  <c r="H46" i="13"/>
  <c r="G46" i="13"/>
  <c r="E46" i="13"/>
  <c r="L46" i="13" l="1"/>
  <c r="N20" i="15" l="1"/>
  <c r="Q21" i="15" s="1"/>
  <c r="Q22" i="15" s="1"/>
  <c r="T21" i="15" l="1"/>
  <c r="T22" i="15" s="1"/>
  <c r="R21" i="15"/>
  <c r="R22" i="15" s="1"/>
  <c r="N21" i="15"/>
  <c r="N22" i="15" s="1"/>
  <c r="S21" i="15"/>
  <c r="S22" i="15" s="1"/>
  <c r="P21" i="15"/>
  <c r="P22" i="15" s="1"/>
  <c r="O21" i="15"/>
  <c r="O22" i="15" s="1"/>
  <c r="N23" i="15" l="1"/>
  <c r="N24" i="15" s="1"/>
  <c r="N27" i="15" l="1"/>
  <c r="J45" i="15"/>
  <c r="J44" i="15"/>
  <c r="D44" i="15"/>
  <c r="D45" i="15"/>
  <c r="G44" i="15"/>
  <c r="G45" i="15" s="1"/>
  <c r="H44" i="15"/>
  <c r="H45" i="15" s="1"/>
  <c r="E44" i="15"/>
  <c r="E45" i="15" s="1"/>
  <c r="F44" i="15"/>
  <c r="I44" i="15"/>
  <c r="I45" i="15" s="1"/>
  <c r="F45" i="15" l="1"/>
  <c r="K45" i="15" s="1"/>
  <c r="H46" i="15" s="1"/>
  <c r="F46" i="15" l="1"/>
  <c r="D46" i="15"/>
  <c r="G46" i="15"/>
  <c r="D48" i="15"/>
  <c r="J48" i="15"/>
  <c r="I48" i="15"/>
  <c r="E48" i="15"/>
  <c r="G48" i="15"/>
  <c r="H48" i="15"/>
  <c r="E46" i="15"/>
  <c r="I46" i="15"/>
  <c r="F48" i="15"/>
  <c r="J46" i="15"/>
</calcChain>
</file>

<file path=xl/sharedStrings.xml><?xml version="1.0" encoding="utf-8"?>
<sst xmlns="http://schemas.openxmlformats.org/spreadsheetml/2006/main" count="710" uniqueCount="186">
  <si>
    <t>S</t>
  </si>
  <si>
    <t xml:space="preserve">Ekspertai </t>
  </si>
  <si>
    <t>X1</t>
  </si>
  <si>
    <t>X2</t>
  </si>
  <si>
    <t>X3</t>
  </si>
  <si>
    <t>X4</t>
  </si>
  <si>
    <t>X5</t>
  </si>
  <si>
    <t>X6</t>
  </si>
  <si>
    <t>X7</t>
  </si>
  <si>
    <t>X8</t>
  </si>
  <si>
    <t>E1</t>
  </si>
  <si>
    <t xml:space="preserve">E2 </t>
  </si>
  <si>
    <t>E3</t>
  </si>
  <si>
    <t>E4</t>
  </si>
  <si>
    <t>E5</t>
  </si>
  <si>
    <t>E6</t>
  </si>
  <si>
    <t>E7</t>
  </si>
  <si>
    <t>E8</t>
  </si>
  <si>
    <t>E9</t>
  </si>
  <si>
    <t>E10</t>
  </si>
  <si>
    <t xml:space="preserve">Rangų suma </t>
  </si>
  <si>
    <t>Rangų vidurkis</t>
  </si>
  <si>
    <t xml:space="preserve">Kriterijų ranžiruotė </t>
  </si>
  <si>
    <t>_</t>
  </si>
  <si>
    <t>X9</t>
  </si>
  <si>
    <t>X10</t>
  </si>
  <si>
    <t>X11</t>
  </si>
  <si>
    <t>Standartai</t>
  </si>
  <si>
    <t>NETRINTI</t>
  </si>
  <si>
    <t>Su statytoju susiję veiksniai</t>
  </si>
  <si>
    <t>Su projekto vadovu susiję veiksniai</t>
  </si>
  <si>
    <t>X12</t>
  </si>
  <si>
    <t>X13</t>
  </si>
  <si>
    <t>Su projekt valdymu / komanda susiję veiksniai</t>
  </si>
  <si>
    <t>Su projektu susiję veiksniai</t>
  </si>
  <si>
    <t>X14</t>
  </si>
  <si>
    <t>X15</t>
  </si>
  <si>
    <t>X16</t>
  </si>
  <si>
    <t>Instituciniai veiksniai</t>
  </si>
  <si>
    <t>Išoriniai veiksniai</t>
  </si>
  <si>
    <t>W</t>
  </si>
  <si>
    <t>E11</t>
  </si>
  <si>
    <t>E12</t>
  </si>
  <si>
    <t>E13</t>
  </si>
  <si>
    <t>E14</t>
  </si>
  <si>
    <t>E15</t>
  </si>
  <si>
    <t>Statybos leidimai</t>
  </si>
  <si>
    <t>Projekto kaina</t>
  </si>
  <si>
    <t>Projekto dydis</t>
  </si>
  <si>
    <t>Patirtis</t>
  </si>
  <si>
    <t xml:space="preserve">Bendroji eilė </t>
  </si>
  <si>
    <t>A                    Išoriniai veiksniai</t>
  </si>
  <si>
    <t>Ekonominė aplinka (mokesčiai, konkurencingumas, paskolos, palūkanų norma, infliacija)</t>
  </si>
  <si>
    <t>Socialinė aplinka (demografiniai rodikliai, etninis priešiškumas, religija, socialinės vertybės)</t>
  </si>
  <si>
    <t>Politinė aplinka (nestabilumas, importo apribojimai)</t>
  </si>
  <si>
    <t>Fizinė aplinka (stichinės nelaimės, oro sąlygos, tarša, triukšmas)</t>
  </si>
  <si>
    <t>Technologinė aplinka</t>
  </si>
  <si>
    <t>Teisinė aplinka (įstatymų keitimas, teismai, nuosavybės teisė)</t>
  </si>
  <si>
    <t>Kultūrinė aplinka (vertybės, pažiūros, elgesio normos)</t>
  </si>
  <si>
    <t>B                    Instituciniai veiksniai</t>
  </si>
  <si>
    <t>Statybą reglamentuojantys dokumentai</t>
  </si>
  <si>
    <t>Produktų ir paslaugų sertifikavimas</t>
  </si>
  <si>
    <t>C                    Su projektu susiję veiksniai</t>
  </si>
  <si>
    <t>Aiškūs ir realūs tikslai</t>
  </si>
  <si>
    <t>Projekto tipas (viešasis ar privatus sektorius)</t>
  </si>
  <si>
    <t>Sutarties tipas</t>
  </si>
  <si>
    <t>Projekto kompleksiškumas, sudėtingumas ir unikalumas</t>
  </si>
  <si>
    <t>Projekto trukmė</t>
  </si>
  <si>
    <t>Planavimas (darbo planas ir programa)</t>
  </si>
  <si>
    <t>Inovacijos</t>
  </si>
  <si>
    <t>Medžiagos ir įranga</t>
  </si>
  <si>
    <t>Priežiūra (monitoringas)</t>
  </si>
  <si>
    <t>Statybos metodai</t>
  </si>
  <si>
    <t>Nelaimingi atsitikimai</t>
  </si>
  <si>
    <t>Pelningumas</t>
  </si>
  <si>
    <t>Rizikingumas</t>
  </si>
  <si>
    <t>Adekvatus finansavimas (ištekliai)</t>
  </si>
  <si>
    <t xml:space="preserve">D                   Su projekto valdymu/komanda susiję veiksniai  </t>
  </si>
  <si>
    <t>Projektų valdymo patirtis</t>
  </si>
  <si>
    <t>Kompetencija</t>
  </si>
  <si>
    <t>Trikdžių šalinimas</t>
  </si>
  <si>
    <t>Sprendimų priėmimo efektyvumas</t>
  </si>
  <si>
    <t>Kontrolės sistema</t>
  </si>
  <si>
    <t>Motyvacija</t>
  </si>
  <si>
    <t>Projekto organizacinė struktūra</t>
  </si>
  <si>
    <t>Gera komunikacija su kitais projekto dalyviais</t>
  </si>
  <si>
    <t>Rizikos nustatymas ir prisiėmimas</t>
  </si>
  <si>
    <t>Techniniai komandos gebėjimai</t>
  </si>
  <si>
    <t>Personalo klausimai (verbavimas, atranka, apmokymas)</t>
  </si>
  <si>
    <t>E                    Su projekto vadovu susiję veiksniai</t>
  </si>
  <si>
    <t>Techninės žinios</t>
  </si>
  <si>
    <t>Lyderio savybės</t>
  </si>
  <si>
    <t>Motyvavimo įgūdžiai</t>
  </si>
  <si>
    <t>Organizaciniai įgūdžiai</t>
  </si>
  <si>
    <t>Koordinavimo įgūdžiai (su subrangovais, užsakovais)</t>
  </si>
  <si>
    <t>Efektyvus ir savalaikis konfliktų išsprendimas</t>
  </si>
  <si>
    <t>Gebėjimas prisitaikyti prie projekto pokyčių, pokyčių valdymas</t>
  </si>
  <si>
    <t>Gebėjimas paskirstyti atsakomybę ir įgaliojimus</t>
  </si>
  <si>
    <t>Savo vaidmens ir atsakomybės suvokimas</t>
  </si>
  <si>
    <t>Pasitikėjimas</t>
  </si>
  <si>
    <t>Sutarties valdymas</t>
  </si>
  <si>
    <t>F                   Su statytoju susiję veiksniai</t>
  </si>
  <si>
    <t>Statytojo tipas (viešasis ar privatus sektorius)</t>
  </si>
  <si>
    <t>Dydis</t>
  </si>
  <si>
    <t>Įtakingumas</t>
  </si>
  <si>
    <t>Galimybės savarankiškai ir laiku priimti sprendimus</t>
  </si>
  <si>
    <t>Aiškiai suformuluoti projekto tikslai</t>
  </si>
  <si>
    <t>Galimybės prisiimti riziką</t>
  </si>
  <si>
    <t>Galimybės kvalifikuotai dalyvauti įvairiose projekto etapuose (koncepcijos, planavimo, vykdymo, baigimo)</t>
  </si>
  <si>
    <t>G                   Su įmone (rangovu) susiję veiksniai</t>
  </si>
  <si>
    <t>Įmonės charakteristikos (kvalifikaciniai reikalavimai)</t>
  </si>
  <si>
    <t>Techninis ir profesinis pajėgumas</t>
  </si>
  <si>
    <t>Ekonominė ir finansinė būklė</t>
  </si>
  <si>
    <t>Savininko vadybininko savybės</t>
  </si>
  <si>
    <t>Vadovybės palaikymas</t>
  </si>
  <si>
    <t>Darbo ir gamybos kokybė</t>
  </si>
  <si>
    <t>Sveikata ir saugumas</t>
  </si>
  <si>
    <t>Darbo aplinka</t>
  </si>
  <si>
    <t>Technologijų naudojimas</t>
  </si>
  <si>
    <t>Subrangovų pasitelkimas</t>
  </si>
  <si>
    <t xml:space="preserve">Ekspertų įvertinimas </t>
  </si>
  <si>
    <t>Bendra eilė</t>
  </si>
  <si>
    <t>Personalo klausimai</t>
  </si>
  <si>
    <t>Aiškiai suformuluoti tikslai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</si>
  <si>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</si>
  <si>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</si>
  <si>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</si>
  <si>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</si>
  <si>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</si>
  <si>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</si>
  <si>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</si>
  <si>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</si>
  <si>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</si>
  <si>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</si>
  <si>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</si>
  <si>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</si>
  <si>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</si>
  <si>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</si>
  <si>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</si>
  <si>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Eile grupeje</t>
  </si>
  <si>
    <t>29-30</t>
  </si>
  <si>
    <t>18-19</t>
  </si>
  <si>
    <t>10,11</t>
  </si>
  <si>
    <t>14,15</t>
  </si>
  <si>
    <t>41-42</t>
  </si>
  <si>
    <t>48-49</t>
  </si>
  <si>
    <t>51-52</t>
  </si>
  <si>
    <t>57-58</t>
  </si>
  <si>
    <t>Globalus</t>
  </si>
  <si>
    <t>Su projektų susiję veiksniai</t>
  </si>
  <si>
    <t>Su rangovu susiję veiksniai</t>
  </si>
  <si>
    <t>Su projekto valdymu/komanda susiję veiksniai</t>
  </si>
  <si>
    <t xml:space="preserve">Nuokrypio kvadratu sumos S skaičiavimas: </t>
  </si>
  <si>
    <t>Veiksnių grupės</t>
  </si>
  <si>
    <t xml:space="preserve">Ekonominė aplinka </t>
  </si>
  <si>
    <t xml:space="preserve">Socialinė aplinka </t>
  </si>
  <si>
    <t xml:space="preserve">Politinė aplinka </t>
  </si>
  <si>
    <t xml:space="preserve">Fizinė aplinka </t>
  </si>
  <si>
    <t xml:space="preserve">Teisinė aplinka </t>
  </si>
  <si>
    <t xml:space="preserve">Kultūrinė aplinka </t>
  </si>
  <si>
    <r>
      <t>Gamtinė</t>
    </r>
    <r>
      <rPr>
        <b/>
        <sz val="10"/>
        <color rgb="FF000000"/>
        <rFont val="Times New Roman"/>
        <family val="1"/>
        <charset val="186"/>
      </rPr>
      <t xml:space="preserve"> </t>
    </r>
    <r>
      <rPr>
        <sz val="10"/>
        <color rgb="FF000000"/>
        <rFont val="Times New Roman"/>
        <family val="1"/>
        <charset val="186"/>
      </rPr>
      <t xml:space="preserve">ekologinė aplinka </t>
    </r>
  </si>
  <si>
    <t xml:space="preserve">Subjektyvinis reikšmingumas </t>
  </si>
  <si>
    <t xml:space="preserve">Projekto tipas </t>
  </si>
  <si>
    <t xml:space="preserve">Planavimas </t>
  </si>
  <si>
    <t>Adekvatus finansavimas</t>
  </si>
  <si>
    <t xml:space="preserve">Koordinavimo įgūdžiai </t>
  </si>
  <si>
    <t>Gebėjimas prisitaikyti prie projekto pokyčių</t>
  </si>
  <si>
    <t xml:space="preserve">Statytojo tipas </t>
  </si>
  <si>
    <t xml:space="preserve">Galimybės kvalifikuotai dalyvauti įvairiose projekto etapuose </t>
  </si>
  <si>
    <t>Įmonės charakteristikos</t>
  </si>
  <si>
    <r>
      <t>Gamtinė</t>
    </r>
    <r>
      <rPr>
        <b/>
        <sz val="10"/>
        <color indexed="8"/>
        <rFont val="Times New Roman"/>
        <family val="1"/>
        <charset val="186"/>
      </rPr>
      <t xml:space="preserve"> </t>
    </r>
    <r>
      <rPr>
        <sz val="10"/>
        <color indexed="8"/>
        <rFont val="Times New Roman"/>
        <family val="1"/>
        <charset val="186"/>
      </rPr>
      <t>ekologinė aplinka (ypatumai, ekosistemos, ištekliai)</t>
    </r>
  </si>
  <si>
    <t>1 grupė</t>
  </si>
  <si>
    <t>2 grupė</t>
  </si>
  <si>
    <t xml:space="preserve">3 grupė </t>
  </si>
  <si>
    <t>4 grupė</t>
  </si>
  <si>
    <t>5 grupė</t>
  </si>
  <si>
    <t>6 grupė</t>
  </si>
  <si>
    <t>7 grupė</t>
  </si>
  <si>
    <t>Konkordancijos koeficiento W nustatymas</t>
  </si>
  <si>
    <t>Konkordancijos koeficiento skaičiavimas</t>
  </si>
  <si>
    <t xml:space="preserve">Vertinami veiksniai </t>
  </si>
  <si>
    <t>Vertinami veiksniai</t>
  </si>
  <si>
    <t>Su įmone / rangovu susiję veiksniai</t>
  </si>
  <si>
    <t xml:space="preserve">Veiksnių reikšmingumų nustatymas ekspertinio vertinimo metodu </t>
  </si>
  <si>
    <t>Veiksnių reikšmingumas</t>
  </si>
  <si>
    <t>Konkordancijos koeficiento reikšmingumas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</si>
</sst>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16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u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</borders>
  <cellStyleXfs count="1">
    <xf numFmtId="0" fontId="0" fillId="0" borderId="0"/>
  </cellStyleXfs>
  <cellXfs count="30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/>
    <xf numFmtId="164" fontId="0" fillId="0" borderId="0" xfId="0" applyNumberFormat="1" applyFont="1" applyBorder="1"/>
    <xf numFmtId="0" fontId="0" fillId="0" borderId="0" xfId="0" applyFill="1" applyBorder="1"/>
    <xf numFmtId="164" fontId="0" fillId="0" borderId="0" xfId="0" applyNumberFormat="1"/>
    <xf numFmtId="1" fontId="2" fillId="0" borderId="0" xfId="0" applyNumberFormat="1" applyFont="1" applyBorder="1"/>
    <xf numFmtId="0" fontId="0" fillId="0" borderId="0" xfId="0" applyFont="1" applyFill="1" applyBorder="1"/>
    <xf numFmtId="0" fontId="4" fillId="0" borderId="0" xfId="0" applyFont="1" applyBorder="1"/>
    <xf numFmtId="0" fontId="0" fillId="2" borderId="0" xfId="0" applyFill="1"/>
    <xf numFmtId="164" fontId="3" fillId="0" borderId="0" xfId="0" applyNumberFormat="1" applyFont="1"/>
    <xf numFmtId="0" fontId="0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0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NumberFormat="1" applyFont="1" applyFill="1"/>
    <xf numFmtId="1" fontId="0" fillId="0" borderId="0" xfId="0" applyNumberFormat="1" applyFont="1" applyBorder="1"/>
    <xf numFmtId="0" fontId="0" fillId="3" borderId="0" xfId="0" applyNumberFormat="1" applyFont="1" applyFill="1"/>
    <xf numFmtId="164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5" fontId="0" fillId="0" borderId="0" xfId="0" applyNumberFormat="1"/>
    <xf numFmtId="0" fontId="3" fillId="0" borderId="0" xfId="0" applyFont="1"/>
    <xf numFmtId="0" fontId="3" fillId="0" borderId="0" xfId="0" applyFont="1" applyBorder="1"/>
    <xf numFmtId="165" fontId="0" fillId="0" borderId="0" xfId="0" applyNumberFormat="1" applyBorder="1"/>
    <xf numFmtId="166" fontId="0" fillId="0" borderId="0" xfId="0" applyNumberFormat="1"/>
    <xf numFmtId="166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0" fontId="0" fillId="0" borderId="0" xfId="0"/>
    <xf numFmtId="165" fontId="0" fillId="0" borderId="0" xfId="0" applyNumberFormat="1"/>
    <xf numFmtId="0" fontId="0" fillId="0" borderId="0" xfId="0" applyFill="1"/>
    <xf numFmtId="1" fontId="0" fillId="0" borderId="0" xfId="0" applyNumberFormat="1" applyFill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165" fontId="0" fillId="0" borderId="0" xfId="0" applyNumberFormat="1" applyFill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7" fillId="0" borderId="0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0" fillId="0" borderId="0" xfId="0" applyFont="1"/>
    <xf numFmtId="0" fontId="1" fillId="0" borderId="0" xfId="0" applyFont="1" applyFill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0" borderId="0" xfId="0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/>
    <xf numFmtId="0" fontId="10" fillId="0" borderId="0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6" xfId="0" applyNumberFormat="1" applyFont="1" applyFill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60" xfId="0" applyFont="1" applyBorder="1" applyAlignment="1">
      <alignment horizontal="left"/>
    </xf>
    <xf numFmtId="0" fontId="1" fillId="0" borderId="46" xfId="0" applyFont="1" applyFill="1" applyBorder="1" applyAlignment="1">
      <alignment horizontal="left"/>
    </xf>
    <xf numFmtId="0" fontId="1" fillId="0" borderId="50" xfId="0" applyFont="1" applyFill="1" applyBorder="1" applyAlignment="1">
      <alignment horizontal="left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" fillId="0" borderId="0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NumberFormat="1" applyFont="1" applyBorder="1" applyAlignment="1"/>
    <xf numFmtId="0" fontId="1" fillId="0" borderId="54" xfId="0" applyFont="1" applyBorder="1"/>
    <xf numFmtId="0" fontId="1" fillId="0" borderId="55" xfId="0" applyFont="1" applyFill="1" applyBorder="1"/>
    <xf numFmtId="164" fontId="1" fillId="0" borderId="0" xfId="0" applyNumberFormat="1" applyFont="1" applyBorder="1"/>
    <xf numFmtId="0" fontId="1" fillId="0" borderId="56" xfId="0" applyFont="1" applyFill="1" applyBorder="1"/>
    <xf numFmtId="164" fontId="1" fillId="0" borderId="0" xfId="0" applyNumberFormat="1" applyFont="1" applyFill="1" applyBorder="1"/>
    <xf numFmtId="0" fontId="1" fillId="0" borderId="57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2" fontId="1" fillId="0" borderId="52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165" fontId="1" fillId="0" borderId="52" xfId="0" applyNumberFormat="1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1" fillId="0" borderId="54" xfId="0" applyFont="1" applyBorder="1" applyAlignment="1">
      <alignment horizontal="left"/>
    </xf>
    <xf numFmtId="0" fontId="1" fillId="0" borderId="55" xfId="0" applyFont="1" applyFill="1" applyBorder="1" applyAlignment="1">
      <alignment horizontal="left"/>
    </xf>
    <xf numFmtId="0" fontId="1" fillId="3" borderId="55" xfId="0" applyFont="1" applyFill="1" applyBorder="1" applyAlignment="1">
      <alignment horizontal="left"/>
    </xf>
    <xf numFmtId="0" fontId="1" fillId="0" borderId="56" xfId="0" applyFont="1" applyFill="1" applyBorder="1" applyAlignment="1">
      <alignment horizontal="left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0" xfId="0" applyFont="1"/>
    <xf numFmtId="0" fontId="1" fillId="0" borderId="0" xfId="0" applyNumberFormat="1" applyFont="1" applyFill="1" applyBorder="1" applyAlignment="1"/>
    <xf numFmtId="0" fontId="12" fillId="0" borderId="52" xfId="0" applyFont="1" applyBorder="1" applyAlignment="1">
      <alignment vertical="center" wrapText="1"/>
    </xf>
    <xf numFmtId="0" fontId="1" fillId="0" borderId="62" xfId="0" applyFont="1" applyBorder="1"/>
    <xf numFmtId="0" fontId="9" fillId="0" borderId="63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3" fillId="0" borderId="0" xfId="0" applyFont="1" applyFill="1"/>
    <xf numFmtId="0" fontId="1" fillId="0" borderId="6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2" xfId="0" applyNumberFormat="1" applyFont="1" applyBorder="1" applyAlignment="1">
      <alignment horizontal="center"/>
    </xf>
    <xf numFmtId="0" fontId="12" fillId="0" borderId="5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/>
    </xf>
    <xf numFmtId="0" fontId="1" fillId="0" borderId="53" xfId="0" applyNumberFormat="1" applyFont="1" applyBorder="1" applyAlignment="1">
      <alignment horizontal="center"/>
    </xf>
    <xf numFmtId="0" fontId="1" fillId="0" borderId="35" xfId="0" applyNumberFormat="1" applyFont="1" applyBorder="1" applyAlignment="1">
      <alignment horizontal="center"/>
    </xf>
    <xf numFmtId="0" fontId="1" fillId="0" borderId="35" xfId="0" applyNumberFormat="1" applyFont="1" applyFill="1" applyBorder="1" applyAlignment="1">
      <alignment horizontal="center"/>
    </xf>
    <xf numFmtId="0" fontId="1" fillId="0" borderId="36" xfId="0" applyNumberFormat="1" applyFont="1" applyFill="1" applyBorder="1" applyAlignment="1">
      <alignment horizontal="center"/>
    </xf>
    <xf numFmtId="1" fontId="1" fillId="0" borderId="51" xfId="0" applyNumberFormat="1" applyFont="1" applyBorder="1" applyAlignment="1">
      <alignment horizontal="center"/>
    </xf>
    <xf numFmtId="1" fontId="1" fillId="0" borderId="42" xfId="0" applyNumberFormat="1" applyFont="1" applyBorder="1" applyAlignment="1">
      <alignment horizontal="center"/>
    </xf>
    <xf numFmtId="1" fontId="1" fillId="0" borderId="48" xfId="0" applyNumberFormat="1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" fontId="1" fillId="0" borderId="26" xfId="0" applyNumberFormat="1" applyFont="1" applyFill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52" xfId="0" applyNumberFormat="1" applyFont="1" applyFill="1" applyBorder="1" applyAlignment="1">
      <alignment horizontal="center"/>
    </xf>
    <xf numFmtId="0" fontId="1" fillId="0" borderId="44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/>
    </xf>
    <xf numFmtId="0" fontId="1" fillId="0" borderId="71" xfId="0" applyNumberFormat="1" applyFont="1" applyBorder="1" applyAlignment="1">
      <alignment horizontal="center"/>
    </xf>
    <xf numFmtId="0" fontId="1" fillId="0" borderId="72" xfId="0" applyNumberFormat="1" applyFont="1" applyBorder="1" applyAlignment="1">
      <alignment horizontal="center"/>
    </xf>
    <xf numFmtId="0" fontId="1" fillId="0" borderId="7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/>
    </xf>
    <xf numFmtId="0" fontId="1" fillId="0" borderId="25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0" fontId="1" fillId="0" borderId="34" xfId="0" applyNumberFormat="1" applyFont="1" applyFill="1" applyBorder="1" applyAlignment="1">
      <alignment horizontal="center"/>
    </xf>
    <xf numFmtId="1" fontId="1" fillId="0" borderId="35" xfId="0" applyNumberFormat="1" applyFont="1" applyFill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1" fontId="1" fillId="0" borderId="36" xfId="0" applyNumberFormat="1" applyFont="1" applyFill="1" applyBorder="1" applyAlignment="1">
      <alignment horizontal="center"/>
    </xf>
    <xf numFmtId="0" fontId="1" fillId="0" borderId="74" xfId="0" applyFont="1" applyBorder="1" applyAlignment="1">
      <alignment horizontal="center"/>
    </xf>
    <xf numFmtId="1" fontId="1" fillId="0" borderId="75" xfId="0" applyNumberFormat="1" applyFont="1" applyBorder="1" applyAlignment="1">
      <alignment horizontal="center"/>
    </xf>
    <xf numFmtId="165" fontId="1" fillId="0" borderId="71" xfId="0" applyNumberFormat="1" applyFont="1" applyBorder="1" applyAlignment="1">
      <alignment horizontal="center"/>
    </xf>
    <xf numFmtId="165" fontId="1" fillId="0" borderId="72" xfId="0" applyNumberFormat="1" applyFont="1" applyBorder="1" applyAlignment="1">
      <alignment horizontal="center"/>
    </xf>
    <xf numFmtId="0" fontId="1" fillId="0" borderId="71" xfId="0" applyFont="1" applyBorder="1"/>
    <xf numFmtId="0" fontId="1" fillId="0" borderId="72" xfId="0" applyFont="1" applyBorder="1"/>
    <xf numFmtId="0" fontId="1" fillId="0" borderId="7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0" borderId="27" xfId="0" applyNumberFormat="1" applyFont="1" applyFill="1" applyBorder="1" applyAlignment="1">
      <alignment horizontal="center"/>
    </xf>
    <xf numFmtId="165" fontId="1" fillId="0" borderId="82" xfId="0" applyNumberFormat="1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1" fontId="10" fillId="0" borderId="83" xfId="0" applyNumberFormat="1" applyFont="1" applyBorder="1" applyAlignment="1">
      <alignment horizontal="center"/>
    </xf>
    <xf numFmtId="1" fontId="10" fillId="0" borderId="84" xfId="0" applyNumberFormat="1" applyFont="1" applyBorder="1" applyAlignment="1">
      <alignment horizontal="center"/>
    </xf>
    <xf numFmtId="0" fontId="9" fillId="0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/>
    </xf>
    <xf numFmtId="0" fontId="1" fillId="0" borderId="73" xfId="0" applyFont="1" applyFill="1" applyBorder="1"/>
    <xf numFmtId="0" fontId="1" fillId="0" borderId="22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83" xfId="0" applyFont="1" applyBorder="1" applyAlignment="1">
      <alignment horizontal="center"/>
    </xf>
    <xf numFmtId="165" fontId="1" fillId="0" borderId="0" xfId="0" applyNumberFormat="1" applyFont="1" applyBorder="1"/>
    <xf numFmtId="0" fontId="1" fillId="0" borderId="1" xfId="0" applyFont="1" applyBorder="1" applyAlignment="1">
      <alignment horizontal="center" wrapText="1"/>
    </xf>
    <xf numFmtId="0" fontId="9" fillId="0" borderId="8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wrapText="1"/>
    </xf>
    <xf numFmtId="0" fontId="1" fillId="0" borderId="88" xfId="0" applyNumberFormat="1" applyFont="1" applyBorder="1" applyAlignment="1">
      <alignment horizontal="center"/>
    </xf>
    <xf numFmtId="0" fontId="1" fillId="0" borderId="53" xfId="0" applyNumberFormat="1" applyFont="1" applyFill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1" fillId="0" borderId="89" xfId="0" applyFont="1" applyBorder="1" applyAlignment="1">
      <alignment horizontal="center"/>
    </xf>
    <xf numFmtId="0" fontId="1" fillId="0" borderId="90" xfId="0" applyFont="1" applyBorder="1" applyAlignment="1">
      <alignment horizontal="center"/>
    </xf>
    <xf numFmtId="1" fontId="1" fillId="0" borderId="0" xfId="0" applyNumberFormat="1" applyFont="1"/>
    <xf numFmtId="0" fontId="1" fillId="0" borderId="1" xfId="0" applyNumberFormat="1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44" xfId="0" applyNumberFormat="1" applyFont="1" applyFill="1" applyBorder="1" applyAlignment="1">
      <alignment horizontal="center" vertical="center" wrapText="1"/>
    </xf>
    <xf numFmtId="0" fontId="6" fillId="0" borderId="52" xfId="0" applyNumberFormat="1" applyFont="1" applyFill="1" applyBorder="1" applyAlignment="1">
      <alignment horizontal="center" vertical="center" wrapText="1"/>
    </xf>
    <xf numFmtId="0" fontId="6" fillId="0" borderId="53" xfId="0" applyNumberFormat="1" applyFont="1" applyFill="1" applyBorder="1" applyAlignment="1">
      <alignment horizontal="center" vertical="center" wrapText="1"/>
    </xf>
    <xf numFmtId="1" fontId="1" fillId="0" borderId="83" xfId="0" applyNumberFormat="1" applyFont="1" applyBorder="1" applyAlignment="1">
      <alignment horizontal="center"/>
    </xf>
    <xf numFmtId="1" fontId="1" fillId="0" borderId="84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165" fontId="1" fillId="0" borderId="40" xfId="0" applyNumberFormat="1" applyFont="1" applyBorder="1" applyAlignment="1">
      <alignment horizontal="center"/>
    </xf>
    <xf numFmtId="0" fontId="1" fillId="0" borderId="40" xfId="0" applyNumberFormat="1" applyFont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165" fontId="1" fillId="0" borderId="35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0" fontId="1" fillId="0" borderId="41" xfId="0" applyNumberFormat="1" applyFont="1" applyFill="1" applyBorder="1" applyAlignment="1">
      <alignment horizontal="center"/>
    </xf>
    <xf numFmtId="165" fontId="1" fillId="0" borderId="40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165" fontId="1" fillId="0" borderId="35" xfId="0" applyNumberFormat="1" applyFont="1" applyFill="1" applyBorder="1" applyAlignment="1">
      <alignment horizontal="center"/>
    </xf>
    <xf numFmtId="0" fontId="15" fillId="0" borderId="31" xfId="0" applyFont="1" applyFill="1" applyBorder="1" applyAlignment="1">
      <alignment vertical="center" wrapText="1"/>
    </xf>
    <xf numFmtId="0" fontId="15" fillId="0" borderId="0" xfId="0" applyFont="1" applyBorder="1"/>
    <xf numFmtId="0" fontId="12" fillId="0" borderId="61" xfId="0" applyFont="1" applyBorder="1" applyAlignment="1">
      <alignment vertical="center" wrapText="1"/>
    </xf>
    <xf numFmtId="0" fontId="12" fillId="0" borderId="53" xfId="0" applyFont="1" applyBorder="1" applyAlignment="1">
      <alignment vertical="center" wrapText="1"/>
    </xf>
    <xf numFmtId="0" fontId="12" fillId="0" borderId="53" xfId="0" applyFont="1" applyBorder="1"/>
    <xf numFmtId="0" fontId="12" fillId="0" borderId="52" xfId="0" applyFont="1" applyFill="1" applyBorder="1" applyAlignment="1">
      <alignment vertical="center" wrapText="1"/>
    </xf>
    <xf numFmtId="0" fontId="9" fillId="0" borderId="77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 textRotation="90" wrapText="1"/>
    </xf>
    <xf numFmtId="0" fontId="12" fillId="0" borderId="55" xfId="0" applyFont="1" applyBorder="1" applyAlignment="1">
      <alignment horizontal="center" vertical="center" textRotation="90" wrapText="1"/>
    </xf>
    <xf numFmtId="0" fontId="12" fillId="0" borderId="56" xfId="0" applyFont="1" applyBorder="1" applyAlignment="1">
      <alignment horizontal="center" vertical="center" textRotation="90" wrapText="1"/>
    </xf>
    <xf numFmtId="0" fontId="12" fillId="0" borderId="54" xfId="0" applyFont="1" applyBorder="1" applyAlignment="1">
      <alignment horizontal="center" vertical="center" textRotation="88"/>
    </xf>
    <xf numFmtId="0" fontId="12" fillId="0" borderId="55" xfId="0" applyFont="1" applyBorder="1" applyAlignment="1">
      <alignment horizontal="center" vertical="center" textRotation="88"/>
    </xf>
    <xf numFmtId="0" fontId="12" fillId="0" borderId="56" xfId="0" applyFont="1" applyBorder="1" applyAlignment="1">
      <alignment horizontal="center" vertical="center" textRotation="8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</c:spPr>
          </c:dPt>
          <c:dLbls>
            <c:dLbl>
              <c:idx val="3"/>
              <c:layout>
                <c:manualLayout>
                  <c:x val="0"/>
                  <c:y val="-3.24074074074074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'Su statytoju susije v.'!$D$46:$K$46</c:f>
              <c:numCache>
                <c:formatCode>0.0000</c:formatCode>
                <c:ptCount val="8"/>
                <c:pt idx="0">
                  <c:v>0.1361111111111111</c:v>
                </c:pt>
                <c:pt idx="1">
                  <c:v>0.11865079365079366</c:v>
                </c:pt>
                <c:pt idx="2">
                  <c:v>0.11785714285714285</c:v>
                </c:pt>
                <c:pt idx="3">
                  <c:v>0.11693121693121693</c:v>
                </c:pt>
                <c:pt idx="4">
                  <c:v>0.12182539682539682</c:v>
                </c:pt>
                <c:pt idx="5">
                  <c:v>0.13505291005291006</c:v>
                </c:pt>
                <c:pt idx="6">
                  <c:v>0.12764550264550265</c:v>
                </c:pt>
                <c:pt idx="7">
                  <c:v>0.12592592592592594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440000"/>
        <c:axId val="83441536"/>
        <c:axId val="0"/>
      </c:bar3DChart>
      <c:catAx>
        <c:axId val="8344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441536"/>
        <c:crosses val="autoZero"/>
        <c:auto val="1"/>
        <c:lblAlgn val="ctr"/>
        <c:lblOffset val="100"/>
        <c:noMultiLvlLbl val="0"/>
      </c:catAx>
      <c:valAx>
        <c:axId val="83441536"/>
        <c:scaling>
          <c:orientation val="minMax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83440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67</xdr:row>
      <xdr:rowOff>42862</xdr:rowOff>
    </xdr:from>
    <xdr:to>
      <xdr:col>13</xdr:col>
      <xdr:colOff>38100</xdr:colOff>
      <xdr:row>84</xdr:row>
      <xdr:rowOff>33337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AB101"/>
  <sheetViews>
    <sheetView tabSelected="1" topLeftCell="A37" zoomScaleNormal="100" workbookViewId="0">
      <selection activeCell="Q31" sqref="Q31"/>
    </sheetView>
  </sheetViews>
  <sheetFormatPr defaultRowHeight="12.75" x14ac:dyDescent="0.2"/>
  <cols>
    <col min="3" max="3" width="21.140625" customWidth="1"/>
    <col min="4" max="14" width="8.28515625" customWidth="1"/>
    <col min="16" max="16" width="7.28515625" customWidth="1"/>
    <col min="17" max="17" width="39.5703125" customWidth="1"/>
  </cols>
  <sheetData>
    <row r="5" spans="3:17" x14ac:dyDescent="0.2">
      <c r="C5" s="147" t="s">
        <v>183</v>
      </c>
    </row>
    <row r="8" spans="3:17" x14ac:dyDescent="0.2">
      <c r="C8" s="48" t="s">
        <v>182</v>
      </c>
      <c r="D8" s="48"/>
      <c r="E8" s="48"/>
      <c r="F8" s="48"/>
      <c r="G8" s="19"/>
      <c r="H8" s="19"/>
      <c r="I8" s="19"/>
      <c r="J8" s="19"/>
      <c r="K8" s="19"/>
      <c r="L8" s="19"/>
      <c r="M8" s="19"/>
      <c r="N8" s="19"/>
      <c r="O8" s="19"/>
    </row>
    <row r="9" spans="3:17" ht="13.5" thickBot="1" x14ac:dyDescent="0.25"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3:17" ht="15" customHeight="1" thickBot="1" x14ac:dyDescent="0.25">
      <c r="C10" s="277" t="s">
        <v>1</v>
      </c>
      <c r="D10" s="279" t="s">
        <v>180</v>
      </c>
      <c r="E10" s="280"/>
      <c r="F10" s="280"/>
      <c r="G10" s="280"/>
      <c r="H10" s="280"/>
      <c r="I10" s="280"/>
      <c r="J10" s="280"/>
      <c r="K10" s="280"/>
      <c r="L10" s="280"/>
      <c r="M10" s="280"/>
      <c r="N10" s="281"/>
      <c r="O10" s="19"/>
      <c r="P10" s="109" t="s">
        <v>2</v>
      </c>
      <c r="Q10" s="45" t="s">
        <v>169</v>
      </c>
    </row>
    <row r="11" spans="3:17" ht="15" customHeight="1" thickBot="1" x14ac:dyDescent="0.25">
      <c r="C11" s="278"/>
      <c r="D11" s="196" t="s">
        <v>2</v>
      </c>
      <c r="E11" s="145" t="s">
        <v>3</v>
      </c>
      <c r="F11" s="145" t="s">
        <v>4</v>
      </c>
      <c r="G11" s="145" t="s">
        <v>5</v>
      </c>
      <c r="H11" s="145" t="s">
        <v>6</v>
      </c>
      <c r="I11" s="145" t="s">
        <v>7</v>
      </c>
      <c r="J11" s="145" t="s">
        <v>8</v>
      </c>
      <c r="K11" s="145" t="s">
        <v>9</v>
      </c>
      <c r="L11" s="145" t="s">
        <v>24</v>
      </c>
      <c r="M11" s="145" t="s">
        <v>25</v>
      </c>
      <c r="N11" s="228" t="s">
        <v>26</v>
      </c>
      <c r="O11" s="19"/>
      <c r="P11" s="109" t="s">
        <v>3</v>
      </c>
      <c r="Q11" s="45" t="s">
        <v>111</v>
      </c>
    </row>
    <row r="12" spans="3:17" ht="15" customHeight="1" x14ac:dyDescent="0.2">
      <c r="C12" s="245" t="s">
        <v>10</v>
      </c>
      <c r="D12" s="243">
        <v>8</v>
      </c>
      <c r="E12" s="232">
        <v>5</v>
      </c>
      <c r="F12" s="232">
        <v>2</v>
      </c>
      <c r="G12" s="232">
        <v>1</v>
      </c>
      <c r="H12" s="232">
        <v>9</v>
      </c>
      <c r="I12" s="232">
        <v>6</v>
      </c>
      <c r="J12" s="232">
        <v>7</v>
      </c>
      <c r="K12" s="232">
        <v>10</v>
      </c>
      <c r="L12" s="232">
        <v>11</v>
      </c>
      <c r="M12" s="232">
        <v>3</v>
      </c>
      <c r="N12" s="233">
        <v>4</v>
      </c>
      <c r="O12" s="19"/>
      <c r="P12" s="109" t="s">
        <v>4</v>
      </c>
      <c r="Q12" s="45" t="s">
        <v>49</v>
      </c>
    </row>
    <row r="13" spans="3:17" ht="15" customHeight="1" x14ac:dyDescent="0.2">
      <c r="C13" s="246" t="s">
        <v>11</v>
      </c>
      <c r="D13" s="190">
        <v>3</v>
      </c>
      <c r="E13" s="182">
        <v>2</v>
      </c>
      <c r="F13" s="182">
        <v>4</v>
      </c>
      <c r="G13" s="182">
        <v>5</v>
      </c>
      <c r="H13" s="182">
        <v>10</v>
      </c>
      <c r="I13" s="182">
        <v>11</v>
      </c>
      <c r="J13" s="182">
        <v>1</v>
      </c>
      <c r="K13" s="182">
        <v>9</v>
      </c>
      <c r="L13" s="182">
        <v>8</v>
      </c>
      <c r="M13" s="182">
        <v>7</v>
      </c>
      <c r="N13" s="198">
        <v>6</v>
      </c>
      <c r="O13" s="19"/>
      <c r="P13" s="109" t="s">
        <v>5</v>
      </c>
      <c r="Q13" s="45" t="s">
        <v>112</v>
      </c>
    </row>
    <row r="14" spans="3:17" ht="15" customHeight="1" x14ac:dyDescent="0.2">
      <c r="C14" s="246" t="s">
        <v>12</v>
      </c>
      <c r="D14" s="191">
        <v>4</v>
      </c>
      <c r="E14" s="183">
        <v>3</v>
      </c>
      <c r="F14" s="183">
        <v>1</v>
      </c>
      <c r="G14" s="183">
        <v>5</v>
      </c>
      <c r="H14" s="183">
        <v>7</v>
      </c>
      <c r="I14" s="183">
        <v>8</v>
      </c>
      <c r="J14" s="183">
        <v>2</v>
      </c>
      <c r="K14" s="183">
        <v>11</v>
      </c>
      <c r="L14" s="183">
        <v>10</v>
      </c>
      <c r="M14" s="183">
        <v>6</v>
      </c>
      <c r="N14" s="200">
        <v>9</v>
      </c>
      <c r="O14" s="19"/>
      <c r="P14" s="109" t="s">
        <v>6</v>
      </c>
      <c r="Q14" s="45" t="s">
        <v>113</v>
      </c>
    </row>
    <row r="15" spans="3:17" ht="15" customHeight="1" x14ac:dyDescent="0.2">
      <c r="C15" s="246" t="s">
        <v>13</v>
      </c>
      <c r="D15" s="190">
        <v>3</v>
      </c>
      <c r="E15" s="182">
        <v>6</v>
      </c>
      <c r="F15" s="182">
        <v>2</v>
      </c>
      <c r="G15" s="182">
        <v>1</v>
      </c>
      <c r="H15" s="182">
        <v>10</v>
      </c>
      <c r="I15" s="182">
        <v>8</v>
      </c>
      <c r="J15" s="182">
        <v>5</v>
      </c>
      <c r="K15" s="182">
        <v>11</v>
      </c>
      <c r="L15" s="182">
        <v>9</v>
      </c>
      <c r="M15" s="182">
        <v>4</v>
      </c>
      <c r="N15" s="198">
        <v>7</v>
      </c>
      <c r="O15" s="19"/>
      <c r="P15" s="109" t="s">
        <v>7</v>
      </c>
      <c r="Q15" s="45" t="s">
        <v>114</v>
      </c>
    </row>
    <row r="16" spans="3:17" ht="15" customHeight="1" x14ac:dyDescent="0.2">
      <c r="C16" s="246" t="s">
        <v>14</v>
      </c>
      <c r="D16" s="190">
        <v>7</v>
      </c>
      <c r="E16" s="182">
        <v>5</v>
      </c>
      <c r="F16" s="182">
        <v>1</v>
      </c>
      <c r="G16" s="182">
        <v>2</v>
      </c>
      <c r="H16" s="182">
        <v>10</v>
      </c>
      <c r="I16" s="182">
        <v>11</v>
      </c>
      <c r="J16" s="182">
        <v>8</v>
      </c>
      <c r="K16" s="182">
        <v>9</v>
      </c>
      <c r="L16" s="182">
        <v>6</v>
      </c>
      <c r="M16" s="182">
        <v>3</v>
      </c>
      <c r="N16" s="198">
        <v>4</v>
      </c>
      <c r="O16" s="19"/>
      <c r="P16" s="109" t="s">
        <v>8</v>
      </c>
      <c r="Q16" s="45" t="s">
        <v>115</v>
      </c>
    </row>
    <row r="17" spans="3:28" ht="15" customHeight="1" x14ac:dyDescent="0.2">
      <c r="C17" s="246" t="s">
        <v>15</v>
      </c>
      <c r="D17" s="190">
        <v>6</v>
      </c>
      <c r="E17" s="182">
        <v>1</v>
      </c>
      <c r="F17" s="182">
        <v>3</v>
      </c>
      <c r="G17" s="182">
        <v>2</v>
      </c>
      <c r="H17" s="182">
        <v>10</v>
      </c>
      <c r="I17" s="182">
        <v>9</v>
      </c>
      <c r="J17" s="182">
        <v>8</v>
      </c>
      <c r="K17" s="182">
        <v>7</v>
      </c>
      <c r="L17" s="182">
        <v>11</v>
      </c>
      <c r="M17" s="249">
        <v>5</v>
      </c>
      <c r="N17" s="198">
        <v>4</v>
      </c>
      <c r="O17" s="19"/>
      <c r="P17" s="109" t="s">
        <v>9</v>
      </c>
      <c r="Q17" s="45" t="s">
        <v>116</v>
      </c>
    </row>
    <row r="18" spans="3:28" ht="15" customHeight="1" x14ac:dyDescent="0.2">
      <c r="C18" s="246" t="s">
        <v>16</v>
      </c>
      <c r="D18" s="191">
        <v>4</v>
      </c>
      <c r="E18" s="183">
        <v>2</v>
      </c>
      <c r="F18" s="183">
        <v>1</v>
      </c>
      <c r="G18" s="183">
        <v>6</v>
      </c>
      <c r="H18" s="183">
        <v>9</v>
      </c>
      <c r="I18" s="183">
        <v>8</v>
      </c>
      <c r="J18" s="183">
        <v>7</v>
      </c>
      <c r="K18" s="183">
        <v>3</v>
      </c>
      <c r="L18" s="183">
        <v>10</v>
      </c>
      <c r="M18" s="183">
        <v>5</v>
      </c>
      <c r="N18" s="200">
        <v>11</v>
      </c>
      <c r="O18" s="19"/>
      <c r="P18" s="109" t="s">
        <v>24</v>
      </c>
      <c r="Q18" s="45" t="s">
        <v>117</v>
      </c>
    </row>
    <row r="19" spans="3:28" ht="15" customHeight="1" x14ac:dyDescent="0.2">
      <c r="C19" s="246" t="s">
        <v>17</v>
      </c>
      <c r="D19" s="164">
        <v>6</v>
      </c>
      <c r="E19" s="165">
        <v>1</v>
      </c>
      <c r="F19" s="165">
        <v>3</v>
      </c>
      <c r="G19" s="165">
        <v>2</v>
      </c>
      <c r="H19" s="165">
        <v>10</v>
      </c>
      <c r="I19" s="165">
        <v>11</v>
      </c>
      <c r="J19" s="165">
        <v>4</v>
      </c>
      <c r="K19" s="165">
        <v>9</v>
      </c>
      <c r="L19" s="165">
        <v>8</v>
      </c>
      <c r="M19" s="165">
        <v>5</v>
      </c>
      <c r="N19" s="166">
        <v>7</v>
      </c>
      <c r="O19" s="19"/>
      <c r="P19" s="109" t="s">
        <v>25</v>
      </c>
      <c r="Q19" s="45" t="s">
        <v>118</v>
      </c>
    </row>
    <row r="20" spans="3:28" ht="15" customHeight="1" x14ac:dyDescent="0.2">
      <c r="C20" s="246" t="s">
        <v>18</v>
      </c>
      <c r="D20" s="192">
        <v>8</v>
      </c>
      <c r="E20" s="70">
        <v>1</v>
      </c>
      <c r="F20" s="70">
        <v>2</v>
      </c>
      <c r="G20" s="70">
        <v>3</v>
      </c>
      <c r="H20" s="70">
        <v>9</v>
      </c>
      <c r="I20" s="70">
        <v>7</v>
      </c>
      <c r="J20" s="70">
        <v>4</v>
      </c>
      <c r="K20" s="70">
        <v>11</v>
      </c>
      <c r="L20" s="70">
        <v>10</v>
      </c>
      <c r="M20" s="70">
        <v>5</v>
      </c>
      <c r="N20" s="71">
        <v>6</v>
      </c>
      <c r="O20" s="19"/>
      <c r="P20" s="109" t="s">
        <v>26</v>
      </c>
      <c r="Q20" s="45" t="s">
        <v>119</v>
      </c>
    </row>
    <row r="21" spans="3:28" ht="15" customHeight="1" x14ac:dyDescent="0.25">
      <c r="C21" s="246" t="s">
        <v>19</v>
      </c>
      <c r="D21" s="192">
        <v>8</v>
      </c>
      <c r="E21" s="79">
        <v>2</v>
      </c>
      <c r="F21" s="79">
        <v>1</v>
      </c>
      <c r="G21" s="79">
        <v>4</v>
      </c>
      <c r="H21" s="79">
        <v>10</v>
      </c>
      <c r="I21" s="79">
        <v>7</v>
      </c>
      <c r="J21" s="70">
        <v>3</v>
      </c>
      <c r="K21" s="79">
        <v>11</v>
      </c>
      <c r="L21" s="79">
        <v>9</v>
      </c>
      <c r="M21" s="79">
        <v>5</v>
      </c>
      <c r="N21" s="167">
        <v>6</v>
      </c>
      <c r="O21" s="19"/>
      <c r="Q21" s="3"/>
    </row>
    <row r="22" spans="3:28" ht="15" customHeight="1" x14ac:dyDescent="0.2">
      <c r="C22" s="246" t="s">
        <v>41</v>
      </c>
      <c r="D22" s="164">
        <v>6</v>
      </c>
      <c r="E22" s="165">
        <v>1</v>
      </c>
      <c r="F22" s="165">
        <v>2</v>
      </c>
      <c r="G22" s="165">
        <v>3</v>
      </c>
      <c r="H22" s="165">
        <v>9</v>
      </c>
      <c r="I22" s="165">
        <v>8</v>
      </c>
      <c r="J22" s="165">
        <v>4</v>
      </c>
      <c r="K22" s="165">
        <v>11</v>
      </c>
      <c r="L22" s="165">
        <v>10</v>
      </c>
      <c r="M22" s="165">
        <v>5</v>
      </c>
      <c r="N22" s="251">
        <v>7</v>
      </c>
      <c r="O22" s="19"/>
      <c r="Q22" s="43" t="s">
        <v>179</v>
      </c>
    </row>
    <row r="23" spans="3:28" ht="15" customHeight="1" x14ac:dyDescent="0.2">
      <c r="C23" s="246" t="s">
        <v>42</v>
      </c>
      <c r="D23" s="164">
        <v>3</v>
      </c>
      <c r="E23" s="165">
        <v>1</v>
      </c>
      <c r="F23" s="165">
        <v>2</v>
      </c>
      <c r="G23" s="165">
        <v>4</v>
      </c>
      <c r="H23" s="165">
        <v>9</v>
      </c>
      <c r="I23" s="165">
        <v>5</v>
      </c>
      <c r="J23" s="165">
        <v>6</v>
      </c>
      <c r="K23" s="165">
        <v>10</v>
      </c>
      <c r="L23" s="165">
        <v>11</v>
      </c>
      <c r="M23" s="165">
        <v>7</v>
      </c>
      <c r="N23" s="251">
        <v>8</v>
      </c>
      <c r="O23" s="19"/>
      <c r="Q23" s="33"/>
    </row>
    <row r="24" spans="3:28" ht="15" customHeight="1" x14ac:dyDescent="0.2">
      <c r="C24" s="246" t="s">
        <v>43</v>
      </c>
      <c r="D24" s="164">
        <v>5</v>
      </c>
      <c r="E24" s="165">
        <v>3</v>
      </c>
      <c r="F24" s="165">
        <v>1</v>
      </c>
      <c r="G24" s="165">
        <v>2</v>
      </c>
      <c r="H24" s="165">
        <v>6</v>
      </c>
      <c r="I24" s="165">
        <v>9</v>
      </c>
      <c r="J24" s="165">
        <v>4</v>
      </c>
      <c r="K24" s="165">
        <v>11</v>
      </c>
      <c r="L24" s="165">
        <v>10</v>
      </c>
      <c r="M24" s="165">
        <v>7</v>
      </c>
      <c r="N24" s="251">
        <v>8</v>
      </c>
      <c r="O24" s="19"/>
      <c r="Q24" s="19" t="s">
        <v>152</v>
      </c>
      <c r="R24" s="19">
        <f>O42/11</f>
        <v>180</v>
      </c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3:28" ht="15" customHeight="1" x14ac:dyDescent="0.2">
      <c r="C25" s="246" t="s">
        <v>44</v>
      </c>
      <c r="D25" s="164">
        <v>5</v>
      </c>
      <c r="E25" s="165">
        <v>2</v>
      </c>
      <c r="F25" s="165">
        <v>1</v>
      </c>
      <c r="G25" s="165">
        <v>3</v>
      </c>
      <c r="H25" s="165">
        <v>9</v>
      </c>
      <c r="I25" s="165">
        <v>10</v>
      </c>
      <c r="J25" s="165">
        <v>4</v>
      </c>
      <c r="K25" s="165">
        <v>8</v>
      </c>
      <c r="L25" s="165">
        <v>11</v>
      </c>
      <c r="M25" s="165">
        <v>6</v>
      </c>
      <c r="N25" s="251">
        <v>7</v>
      </c>
      <c r="O25" s="19"/>
      <c r="Q25" s="33"/>
      <c r="R25" s="19">
        <f>D42-R24</f>
        <v>-26</v>
      </c>
      <c r="S25" s="19">
        <f>E42-R24</f>
        <v>-108</v>
      </c>
      <c r="T25" s="19">
        <f>F42-R24</f>
        <v>-119</v>
      </c>
      <c r="U25" s="19">
        <f>G42-R24</f>
        <v>-68</v>
      </c>
      <c r="V25" s="19">
        <f>H42-R24</f>
        <v>93</v>
      </c>
      <c r="W25" s="19">
        <f>I42-R24</f>
        <v>84</v>
      </c>
      <c r="X25" s="19">
        <f>J42-R24</f>
        <v>-40</v>
      </c>
      <c r="Y25" s="19">
        <f>K42-R24</f>
        <v>69</v>
      </c>
      <c r="Z25" s="19">
        <f>L42-R24</f>
        <v>74</v>
      </c>
      <c r="AA25" s="19">
        <f>M42-R24</f>
        <v>-14</v>
      </c>
      <c r="AB25" s="19">
        <f>N42-R24</f>
        <v>55</v>
      </c>
    </row>
    <row r="26" spans="3:28" ht="15" customHeight="1" x14ac:dyDescent="0.2">
      <c r="C26" s="247" t="s">
        <v>45</v>
      </c>
      <c r="D26" s="255">
        <v>7</v>
      </c>
      <c r="E26" s="250">
        <v>2</v>
      </c>
      <c r="F26" s="250">
        <v>1</v>
      </c>
      <c r="G26" s="250">
        <v>3</v>
      </c>
      <c r="H26" s="250">
        <v>10</v>
      </c>
      <c r="I26" s="250">
        <v>11</v>
      </c>
      <c r="J26" s="250">
        <v>6</v>
      </c>
      <c r="K26" s="250">
        <v>9</v>
      </c>
      <c r="L26" s="250">
        <v>8</v>
      </c>
      <c r="M26" s="250">
        <v>4</v>
      </c>
      <c r="N26" s="252">
        <v>5</v>
      </c>
      <c r="O26" s="19"/>
      <c r="Q26" s="33"/>
      <c r="R26" s="19">
        <f t="shared" ref="R26:AB26" si="0">R25*R25</f>
        <v>676</v>
      </c>
      <c r="S26" s="19">
        <f t="shared" si="0"/>
        <v>11664</v>
      </c>
      <c r="T26" s="19">
        <f t="shared" si="0"/>
        <v>14161</v>
      </c>
      <c r="U26" s="19">
        <f t="shared" si="0"/>
        <v>4624</v>
      </c>
      <c r="V26" s="19">
        <f t="shared" si="0"/>
        <v>8649</v>
      </c>
      <c r="W26" s="19">
        <f t="shared" si="0"/>
        <v>7056</v>
      </c>
      <c r="X26" s="19">
        <f t="shared" si="0"/>
        <v>1600</v>
      </c>
      <c r="Y26" s="19">
        <f t="shared" si="0"/>
        <v>4761</v>
      </c>
      <c r="Z26" s="19">
        <f t="shared" si="0"/>
        <v>5476</v>
      </c>
      <c r="AA26" s="19">
        <f t="shared" si="0"/>
        <v>196</v>
      </c>
      <c r="AB26" s="19">
        <f t="shared" si="0"/>
        <v>3025</v>
      </c>
    </row>
    <row r="27" spans="3:28" s="33" customFormat="1" ht="15" customHeight="1" x14ac:dyDescent="0.2">
      <c r="C27" s="156" t="s">
        <v>124</v>
      </c>
      <c r="D27" s="256">
        <v>7</v>
      </c>
      <c r="E27" s="169">
        <v>2</v>
      </c>
      <c r="F27" s="169">
        <v>1</v>
      </c>
      <c r="G27" s="169">
        <v>3</v>
      </c>
      <c r="H27" s="169">
        <v>11</v>
      </c>
      <c r="I27" s="169">
        <v>8</v>
      </c>
      <c r="J27" s="169">
        <v>4</v>
      </c>
      <c r="K27" s="169">
        <v>9</v>
      </c>
      <c r="L27" s="169">
        <v>10</v>
      </c>
      <c r="M27" s="169">
        <v>5</v>
      </c>
      <c r="N27" s="251">
        <v>6</v>
      </c>
      <c r="O27" s="19"/>
      <c r="Q27" s="44" t="s">
        <v>0</v>
      </c>
      <c r="R27" s="19">
        <f>SUM(R26:AB26)</f>
        <v>61888</v>
      </c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3:28" s="33" customFormat="1" ht="15" customHeight="1" x14ac:dyDescent="0.2">
      <c r="C28" s="156" t="s">
        <v>125</v>
      </c>
      <c r="D28" s="256">
        <v>3</v>
      </c>
      <c r="E28" s="169">
        <v>1</v>
      </c>
      <c r="F28" s="169">
        <v>2</v>
      </c>
      <c r="G28" s="169">
        <v>4</v>
      </c>
      <c r="H28" s="169">
        <v>10</v>
      </c>
      <c r="I28" s="169">
        <v>9</v>
      </c>
      <c r="J28" s="169">
        <v>5</v>
      </c>
      <c r="K28" s="169">
        <v>6</v>
      </c>
      <c r="L28" s="169">
        <v>7</v>
      </c>
      <c r="M28" s="169">
        <v>8</v>
      </c>
      <c r="N28" s="251">
        <v>11</v>
      </c>
      <c r="O28" s="19"/>
      <c r="Q28" s="43" t="s">
        <v>178</v>
      </c>
      <c r="R28" s="19">
        <f>12*R27</f>
        <v>742656</v>
      </c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3:28" s="33" customFormat="1" ht="15" customHeight="1" x14ac:dyDescent="0.2">
      <c r="C29" s="156" t="s">
        <v>126</v>
      </c>
      <c r="D29" s="256">
        <v>4</v>
      </c>
      <c r="E29" s="169">
        <v>6</v>
      </c>
      <c r="F29" s="169">
        <v>2</v>
      </c>
      <c r="G29" s="169">
        <v>5</v>
      </c>
      <c r="H29" s="169">
        <v>10</v>
      </c>
      <c r="I29" s="169">
        <v>1</v>
      </c>
      <c r="J29" s="169">
        <v>3</v>
      </c>
      <c r="K29" s="169">
        <v>9</v>
      </c>
      <c r="L29" s="169">
        <v>8</v>
      </c>
      <c r="M29" s="169">
        <v>7</v>
      </c>
      <c r="N29" s="251">
        <v>11</v>
      </c>
      <c r="O29" s="19"/>
      <c r="R29" s="19">
        <v>900</v>
      </c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3:28" s="33" customFormat="1" ht="15" customHeight="1" x14ac:dyDescent="0.2">
      <c r="C30" s="156" t="s">
        <v>127</v>
      </c>
      <c r="D30" s="256">
        <v>5</v>
      </c>
      <c r="E30" s="169">
        <v>1</v>
      </c>
      <c r="F30" s="169">
        <v>2</v>
      </c>
      <c r="G30" s="169">
        <v>3</v>
      </c>
      <c r="H30" s="169">
        <v>9</v>
      </c>
      <c r="I30" s="169">
        <v>10</v>
      </c>
      <c r="J30" s="169">
        <v>4</v>
      </c>
      <c r="K30" s="169">
        <v>7</v>
      </c>
      <c r="L30" s="169">
        <v>6</v>
      </c>
      <c r="M30" s="169">
        <v>8</v>
      </c>
      <c r="N30" s="251">
        <v>11</v>
      </c>
      <c r="O30" s="19"/>
      <c r="R30" s="19">
        <f>R29*1320</f>
        <v>1188000</v>
      </c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3:28" s="33" customFormat="1" ht="15" customHeight="1" x14ac:dyDescent="0.2">
      <c r="C31" s="156" t="s">
        <v>128</v>
      </c>
      <c r="D31" s="256">
        <v>4</v>
      </c>
      <c r="E31" s="169">
        <v>2</v>
      </c>
      <c r="F31" s="169">
        <v>1</v>
      </c>
      <c r="G31" s="169">
        <v>3</v>
      </c>
      <c r="H31" s="169">
        <v>7</v>
      </c>
      <c r="I31" s="169">
        <v>6</v>
      </c>
      <c r="J31" s="169">
        <v>5</v>
      </c>
      <c r="K31" s="169">
        <v>11</v>
      </c>
      <c r="L31" s="169">
        <v>9</v>
      </c>
      <c r="M31" s="169">
        <v>8</v>
      </c>
      <c r="N31" s="251">
        <v>10</v>
      </c>
      <c r="O31" s="19"/>
      <c r="Q31" s="44" t="s">
        <v>40</v>
      </c>
      <c r="R31" s="54">
        <f>R28/R30</f>
        <v>0.62513131313131309</v>
      </c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3:28" s="33" customFormat="1" ht="15" customHeight="1" x14ac:dyDescent="0.2">
      <c r="C32" s="156" t="s">
        <v>129</v>
      </c>
      <c r="D32" s="256">
        <v>8</v>
      </c>
      <c r="E32" s="169">
        <v>6</v>
      </c>
      <c r="F32" s="169">
        <v>5</v>
      </c>
      <c r="G32" s="169">
        <v>7</v>
      </c>
      <c r="H32" s="169">
        <v>11</v>
      </c>
      <c r="I32" s="169">
        <v>9</v>
      </c>
      <c r="J32" s="169">
        <v>2</v>
      </c>
      <c r="K32" s="169">
        <v>1</v>
      </c>
      <c r="L32" s="169">
        <v>3</v>
      </c>
      <c r="M32" s="169">
        <v>4</v>
      </c>
      <c r="N32" s="251">
        <v>10</v>
      </c>
      <c r="O32" s="19"/>
      <c r="Q32" s="39" t="s">
        <v>185</v>
      </c>
      <c r="R32" s="54">
        <f>R28/3960</f>
        <v>187.53939393939393</v>
      </c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3:28" s="33" customFormat="1" ht="15" customHeight="1" x14ac:dyDescent="0.25">
      <c r="C33" s="156" t="s">
        <v>130</v>
      </c>
      <c r="D33" s="256">
        <v>8</v>
      </c>
      <c r="E33" s="169">
        <v>4</v>
      </c>
      <c r="F33" s="169">
        <v>1</v>
      </c>
      <c r="G33" s="169">
        <v>5</v>
      </c>
      <c r="H33" s="169">
        <v>6</v>
      </c>
      <c r="I33" s="169">
        <v>10</v>
      </c>
      <c r="J33" s="169">
        <v>7</v>
      </c>
      <c r="K33" s="169">
        <v>2</v>
      </c>
      <c r="L33" s="169">
        <v>11</v>
      </c>
      <c r="M33" s="169">
        <v>3</v>
      </c>
      <c r="N33" s="251">
        <v>9</v>
      </c>
      <c r="O33" s="19"/>
      <c r="Q33" s="3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3:28" s="33" customFormat="1" ht="15" customHeight="1" x14ac:dyDescent="0.25">
      <c r="C34" s="156" t="s">
        <v>131</v>
      </c>
      <c r="D34" s="256">
        <v>3</v>
      </c>
      <c r="E34" s="169">
        <v>2</v>
      </c>
      <c r="F34" s="169">
        <v>1</v>
      </c>
      <c r="G34" s="169">
        <v>9</v>
      </c>
      <c r="H34" s="169">
        <v>5</v>
      </c>
      <c r="I34" s="169">
        <v>10</v>
      </c>
      <c r="J34" s="169">
        <v>4</v>
      </c>
      <c r="K34" s="169">
        <v>6</v>
      </c>
      <c r="L34" s="169">
        <v>7</v>
      </c>
      <c r="M34" s="169">
        <v>8</v>
      </c>
      <c r="N34" s="251">
        <v>11</v>
      </c>
      <c r="O34" s="19"/>
      <c r="Q34" s="3"/>
    </row>
    <row r="35" spans="3:28" s="33" customFormat="1" ht="15" customHeight="1" x14ac:dyDescent="0.25">
      <c r="C35" s="156" t="s">
        <v>132</v>
      </c>
      <c r="D35" s="256">
        <v>7</v>
      </c>
      <c r="E35" s="169">
        <v>1</v>
      </c>
      <c r="F35" s="169">
        <v>2</v>
      </c>
      <c r="G35" s="169">
        <v>3</v>
      </c>
      <c r="H35" s="169">
        <v>8</v>
      </c>
      <c r="I35" s="169">
        <v>10</v>
      </c>
      <c r="J35" s="169">
        <v>4</v>
      </c>
      <c r="K35" s="169">
        <v>11</v>
      </c>
      <c r="L35" s="169">
        <v>9</v>
      </c>
      <c r="M35" s="169">
        <v>5</v>
      </c>
      <c r="N35" s="251">
        <v>6</v>
      </c>
      <c r="O35" s="19"/>
      <c r="Q35" s="3"/>
    </row>
    <row r="36" spans="3:28" s="33" customFormat="1" ht="15" customHeight="1" x14ac:dyDescent="0.25">
      <c r="C36" s="156" t="s">
        <v>133</v>
      </c>
      <c r="D36" s="256">
        <v>4</v>
      </c>
      <c r="E36" s="169">
        <v>3</v>
      </c>
      <c r="F36" s="169">
        <v>5</v>
      </c>
      <c r="G36" s="169">
        <v>2</v>
      </c>
      <c r="H36" s="169">
        <v>9</v>
      </c>
      <c r="I36" s="169">
        <v>10</v>
      </c>
      <c r="J36" s="169">
        <v>6</v>
      </c>
      <c r="K36" s="169">
        <v>7</v>
      </c>
      <c r="L36" s="169">
        <v>8</v>
      </c>
      <c r="M36" s="169">
        <v>1</v>
      </c>
      <c r="N36" s="251">
        <v>11</v>
      </c>
      <c r="O36" s="19"/>
      <c r="Q36" s="3"/>
    </row>
    <row r="37" spans="3:28" s="33" customFormat="1" ht="15" customHeight="1" x14ac:dyDescent="0.25">
      <c r="C37" s="156" t="s">
        <v>134</v>
      </c>
      <c r="D37" s="256">
        <v>5</v>
      </c>
      <c r="E37" s="169">
        <v>2</v>
      </c>
      <c r="F37" s="169">
        <v>3</v>
      </c>
      <c r="G37" s="169">
        <v>7</v>
      </c>
      <c r="H37" s="169">
        <v>9</v>
      </c>
      <c r="I37" s="169">
        <v>11</v>
      </c>
      <c r="J37" s="169">
        <v>1</v>
      </c>
      <c r="K37" s="169">
        <v>8</v>
      </c>
      <c r="L37" s="169">
        <v>6</v>
      </c>
      <c r="M37" s="169">
        <v>4</v>
      </c>
      <c r="N37" s="251">
        <v>10</v>
      </c>
      <c r="O37" s="19"/>
      <c r="Q37" s="3"/>
    </row>
    <row r="38" spans="3:28" s="33" customFormat="1" ht="15" customHeight="1" x14ac:dyDescent="0.25">
      <c r="C38" s="156" t="s">
        <v>135</v>
      </c>
      <c r="D38" s="256">
        <v>3</v>
      </c>
      <c r="E38" s="169">
        <v>2</v>
      </c>
      <c r="F38" s="169">
        <v>1</v>
      </c>
      <c r="G38" s="169">
        <v>4</v>
      </c>
      <c r="H38" s="169">
        <v>10</v>
      </c>
      <c r="I38" s="169">
        <v>11</v>
      </c>
      <c r="J38" s="169">
        <v>5</v>
      </c>
      <c r="K38" s="169">
        <v>6</v>
      </c>
      <c r="L38" s="169">
        <v>7</v>
      </c>
      <c r="M38" s="169">
        <v>8</v>
      </c>
      <c r="N38" s="251">
        <v>9</v>
      </c>
      <c r="O38" s="19"/>
      <c r="Q38" s="3"/>
    </row>
    <row r="39" spans="3:28" s="33" customFormat="1" ht="15" customHeight="1" x14ac:dyDescent="0.25">
      <c r="C39" s="156" t="s">
        <v>136</v>
      </c>
      <c r="D39" s="164">
        <v>2</v>
      </c>
      <c r="E39" s="165">
        <v>1</v>
      </c>
      <c r="F39" s="165">
        <v>3</v>
      </c>
      <c r="G39" s="165">
        <v>4</v>
      </c>
      <c r="H39" s="165">
        <v>10</v>
      </c>
      <c r="I39" s="165">
        <v>9</v>
      </c>
      <c r="J39" s="165">
        <v>8</v>
      </c>
      <c r="K39" s="165">
        <v>11</v>
      </c>
      <c r="L39" s="165">
        <v>6</v>
      </c>
      <c r="M39" s="169">
        <v>7</v>
      </c>
      <c r="N39" s="251">
        <v>5</v>
      </c>
      <c r="O39" s="19"/>
      <c r="Q39" s="3"/>
    </row>
    <row r="40" spans="3:28" s="33" customFormat="1" ht="15" customHeight="1" x14ac:dyDescent="0.25">
      <c r="C40" s="156" t="s">
        <v>137</v>
      </c>
      <c r="D40" s="164">
        <v>6</v>
      </c>
      <c r="E40" s="165">
        <v>1</v>
      </c>
      <c r="F40" s="165">
        <v>2</v>
      </c>
      <c r="G40" s="165">
        <v>3</v>
      </c>
      <c r="H40" s="165">
        <v>11</v>
      </c>
      <c r="I40" s="165">
        <v>10</v>
      </c>
      <c r="J40" s="165">
        <v>4</v>
      </c>
      <c r="K40" s="165">
        <v>9</v>
      </c>
      <c r="L40" s="165">
        <v>8</v>
      </c>
      <c r="M40" s="165">
        <v>5</v>
      </c>
      <c r="N40" s="166">
        <v>7</v>
      </c>
      <c r="O40" s="19"/>
      <c r="Q40" s="3"/>
    </row>
    <row r="41" spans="3:28" s="33" customFormat="1" ht="15" customHeight="1" thickBot="1" x14ac:dyDescent="0.3">
      <c r="C41" s="170" t="s">
        <v>138</v>
      </c>
      <c r="D41" s="257">
        <v>2</v>
      </c>
      <c r="E41" s="253">
        <v>1</v>
      </c>
      <c r="F41" s="253">
        <v>3</v>
      </c>
      <c r="G41" s="253">
        <v>4</v>
      </c>
      <c r="H41" s="253">
        <v>10</v>
      </c>
      <c r="I41" s="253">
        <v>11</v>
      </c>
      <c r="J41" s="253">
        <v>5</v>
      </c>
      <c r="K41" s="253">
        <v>6</v>
      </c>
      <c r="L41" s="253">
        <v>7</v>
      </c>
      <c r="M41" s="253">
        <v>8</v>
      </c>
      <c r="N41" s="254">
        <v>9</v>
      </c>
      <c r="O41" s="19"/>
      <c r="Q41" s="3"/>
    </row>
    <row r="42" spans="3:28" ht="15" customHeight="1" x14ac:dyDescent="0.25">
      <c r="C42" s="150" t="s">
        <v>20</v>
      </c>
      <c r="D42" s="189">
        <f t="shared" ref="D42:N42" si="1">SUM(D12:D41)</f>
        <v>154</v>
      </c>
      <c r="E42" s="181">
        <f t="shared" si="1"/>
        <v>72</v>
      </c>
      <c r="F42" s="181">
        <f t="shared" si="1"/>
        <v>61</v>
      </c>
      <c r="G42" s="181">
        <f t="shared" si="1"/>
        <v>112</v>
      </c>
      <c r="H42" s="181">
        <f t="shared" si="1"/>
        <v>273</v>
      </c>
      <c r="I42" s="181">
        <f t="shared" si="1"/>
        <v>264</v>
      </c>
      <c r="J42" s="181">
        <f t="shared" si="1"/>
        <v>140</v>
      </c>
      <c r="K42" s="181">
        <f t="shared" si="1"/>
        <v>249</v>
      </c>
      <c r="L42" s="181">
        <f t="shared" si="1"/>
        <v>254</v>
      </c>
      <c r="M42" s="181">
        <f t="shared" si="1"/>
        <v>166</v>
      </c>
      <c r="N42" s="220">
        <f t="shared" si="1"/>
        <v>235</v>
      </c>
      <c r="O42" s="230">
        <f>SUM(D42:N42)</f>
        <v>1980</v>
      </c>
      <c r="Q42" s="3"/>
    </row>
    <row r="43" spans="3:28" x14ac:dyDescent="0.2">
      <c r="C43" s="116" t="s">
        <v>21</v>
      </c>
      <c r="D43" s="194">
        <f>(D42/30)</f>
        <v>5.1333333333333337</v>
      </c>
      <c r="E43" s="194">
        <f t="shared" ref="E43:N43" si="2">(E42/30)</f>
        <v>2.4</v>
      </c>
      <c r="F43" s="194">
        <f t="shared" si="2"/>
        <v>2.0333333333333332</v>
      </c>
      <c r="G43" s="194">
        <f t="shared" si="2"/>
        <v>3.7333333333333334</v>
      </c>
      <c r="H43" s="194">
        <f t="shared" si="2"/>
        <v>9.1</v>
      </c>
      <c r="I43" s="194">
        <f t="shared" si="2"/>
        <v>8.8000000000000007</v>
      </c>
      <c r="J43" s="194">
        <f t="shared" si="2"/>
        <v>4.666666666666667</v>
      </c>
      <c r="K43" s="194">
        <f t="shared" si="2"/>
        <v>8.3000000000000007</v>
      </c>
      <c r="L43" s="194">
        <f t="shared" si="2"/>
        <v>8.4666666666666668</v>
      </c>
      <c r="M43" s="194">
        <f t="shared" si="2"/>
        <v>5.5333333333333332</v>
      </c>
      <c r="N43" s="222">
        <f t="shared" si="2"/>
        <v>7.833333333333333</v>
      </c>
      <c r="O43" s="119">
        <f>SUM(D43:N43)</f>
        <v>66</v>
      </c>
      <c r="Q43" s="1"/>
    </row>
    <row r="44" spans="3:28" x14ac:dyDescent="0.2">
      <c r="C44" s="116" t="s">
        <v>184</v>
      </c>
      <c r="D44" s="194">
        <f>(D43/O43)</f>
        <v>7.7777777777777779E-2</v>
      </c>
      <c r="E44" s="187">
        <f>(E43/O43)</f>
        <v>3.6363636363636362E-2</v>
      </c>
      <c r="F44" s="187">
        <f>(F43/O43)</f>
        <v>3.0808080808080805E-2</v>
      </c>
      <c r="G44" s="187">
        <f>(G43/O43)</f>
        <v>5.6565656565656569E-2</v>
      </c>
      <c r="H44" s="187">
        <f>(H43/O43)</f>
        <v>0.13787878787878788</v>
      </c>
      <c r="I44" s="187">
        <f>(I43/O43)</f>
        <v>0.13333333333333333</v>
      </c>
      <c r="J44" s="229">
        <f>(J43/O43)</f>
        <v>7.0707070707070718E-2</v>
      </c>
      <c r="K44" s="187">
        <f>(K43/O43)</f>
        <v>0.12575757575757576</v>
      </c>
      <c r="L44" s="187">
        <f>(L43/O43)</f>
        <v>0.12828282828282828</v>
      </c>
      <c r="M44" s="229">
        <f>(M43/O43)</f>
        <v>8.3838383838383837E-2</v>
      </c>
      <c r="N44" s="212">
        <f>(N43/O43)</f>
        <v>0.11868686868686869</v>
      </c>
      <c r="O44" s="19"/>
      <c r="Q44" s="9"/>
      <c r="R44" s="9"/>
      <c r="S44" s="9"/>
      <c r="T44" s="9"/>
    </row>
    <row r="45" spans="3:28" x14ac:dyDescent="0.2">
      <c r="C45" s="116"/>
      <c r="D45" s="194">
        <f>1-D44</f>
        <v>0.92222222222222228</v>
      </c>
      <c r="E45" s="194">
        <f t="shared" ref="E45:N45" si="3">1-E44</f>
        <v>0.96363636363636362</v>
      </c>
      <c r="F45" s="194">
        <f t="shared" si="3"/>
        <v>0.96919191919191916</v>
      </c>
      <c r="G45" s="194">
        <f t="shared" si="3"/>
        <v>0.9434343434343434</v>
      </c>
      <c r="H45" s="194">
        <f t="shared" si="3"/>
        <v>0.86212121212121207</v>
      </c>
      <c r="I45" s="194">
        <f t="shared" si="3"/>
        <v>0.8666666666666667</v>
      </c>
      <c r="J45" s="194">
        <f t="shared" si="3"/>
        <v>0.92929292929292928</v>
      </c>
      <c r="K45" s="194">
        <f t="shared" si="3"/>
        <v>0.87424242424242427</v>
      </c>
      <c r="L45" s="194">
        <f t="shared" si="3"/>
        <v>0.87171717171717167</v>
      </c>
      <c r="M45" s="194">
        <f t="shared" si="3"/>
        <v>0.91616161616161618</v>
      </c>
      <c r="N45" s="222">
        <f t="shared" si="3"/>
        <v>0.88131313131313127</v>
      </c>
      <c r="O45" s="106">
        <f>SUM(D45:N45)</f>
        <v>10</v>
      </c>
      <c r="Q45" s="9"/>
      <c r="R45" s="9"/>
      <c r="S45" s="9"/>
      <c r="T45" s="9"/>
    </row>
    <row r="46" spans="3:28" x14ac:dyDescent="0.2">
      <c r="C46" s="116" t="s">
        <v>161</v>
      </c>
      <c r="D46" s="194">
        <f>D45/10</f>
        <v>9.2222222222222233E-2</v>
      </c>
      <c r="E46" s="194">
        <f t="shared" ref="E46:N46" si="4">E45/10</f>
        <v>9.636363636363636E-2</v>
      </c>
      <c r="F46" s="194">
        <f t="shared" si="4"/>
        <v>9.6919191919191919E-2</v>
      </c>
      <c r="G46" s="194">
        <f t="shared" si="4"/>
        <v>9.434343434343434E-2</v>
      </c>
      <c r="H46" s="194">
        <f t="shared" si="4"/>
        <v>8.6212121212121212E-2</v>
      </c>
      <c r="I46" s="194">
        <f t="shared" si="4"/>
        <v>8.666666666666667E-2</v>
      </c>
      <c r="J46" s="194">
        <f t="shared" si="4"/>
        <v>9.2929292929292931E-2</v>
      </c>
      <c r="K46" s="194">
        <f t="shared" si="4"/>
        <v>8.7424242424242432E-2</v>
      </c>
      <c r="L46" s="194">
        <f t="shared" si="4"/>
        <v>8.7171717171717164E-2</v>
      </c>
      <c r="M46" s="194">
        <f t="shared" si="4"/>
        <v>9.1616161616161623E-2</v>
      </c>
      <c r="N46" s="222">
        <f t="shared" si="4"/>
        <v>8.813131313131313E-2</v>
      </c>
      <c r="O46" s="54">
        <f>SUM(D46:N46)</f>
        <v>1</v>
      </c>
      <c r="Q46" s="9"/>
      <c r="R46" s="9"/>
      <c r="S46" s="9"/>
      <c r="T46" s="9"/>
    </row>
    <row r="47" spans="3:28" ht="15.75" x14ac:dyDescent="0.25">
      <c r="C47" s="116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23"/>
      <c r="O47" s="19"/>
    </row>
    <row r="48" spans="3:28" ht="13.5" thickBot="1" x14ac:dyDescent="0.25">
      <c r="C48" s="118" t="s">
        <v>22</v>
      </c>
      <c r="D48" s="258">
        <f>IF(D44=D49,1,IF(D44=E49,2,IF(D44=F49,3,IF(D44=G49,4,IF(D44=H49,5,IF(D44=I49,6,IF(D44=J49,7,IF(D44=K49,8,IF(D44=L49,9,IF(D44=M49,10,11))))))))))</f>
        <v>5</v>
      </c>
      <c r="E48" s="258">
        <f>IF(E44=D49,1,IF(E44=E49,2,IF(E44=F49,3,IF(E44=G49,4,IF(E44=H49,5,IF(E44=I49,6,IF(E44=J49,7,IF(E44=K49,8,IF(E44=L49,9,IF(E44=M49,10,11))))))))))</f>
        <v>2</v>
      </c>
      <c r="F48" s="258">
        <f>IF(F44=D49,1,IF(F44=E49,2,IF(F44=F49,3,IF(F44=G49,4,IF(F44=H49,5,IF(F44=I49,6,IF(F44=J49,7,IF(F44=K49,8,IF(F44=L49,9,IF(F44=M49,10,11))))))))))</f>
        <v>1</v>
      </c>
      <c r="G48" s="258">
        <f>IF(G44=D49,1,IF(G44=E49,2,IF(G44=F49,3,IF(G44=G49,4,IF(G44=H49,5,IF(G44=I49,6,IF(G44=J49,7,IF(G44=K49,8,IF(G44=L49,9,IF(G44=M49,10,11))))))))))</f>
        <v>3</v>
      </c>
      <c r="H48" s="258">
        <f>IF(H44=D49,1,IF(H44=E49,2,IF(H44=F49,3,IF(H44=G49,4,IF(H44=H49,5,IF(H44=I49,6,IF(H44=J49,7,IF(H44=K49,8,IF(H44=L49,9,IF(H44=M49,10,11))))))))))</f>
        <v>11</v>
      </c>
      <c r="I48" s="258">
        <f>IF(I44=D49,1,IF(I44=E49,2,IF(I44=F49,3,IF(I44=G49,4,IF(I44=H49,5,IF(I44=I49,6,IF(I44=J49,7,IF(I44=K49,8,IF(I44=L49,9,IF(I44=M49,10,11))))))))))</f>
        <v>10</v>
      </c>
      <c r="J48" s="258">
        <f>IF(J44=D49,1,IF(J44=E49,2,IF(J44=F49,3,IF(J44=G49,4,IF(J44=H49,5,IF(J44=I49,6,IF(J44=J49,7,IF(J44=K49,8,IF(J44=L49,9,IF(J44=M49,10,11))))))))))</f>
        <v>4</v>
      </c>
      <c r="K48" s="258">
        <f>IF(K44=D49,1,IF(K44=E49,2,IF(K44=F49,3,IF(K44=G49,4,IF(K44=H49,5,IF(K44=I49,6,IF(K44=J49,7,IF(K44=K49,8,IF(K44=L49,9,IF(K44=M49,10,11))))))))))</f>
        <v>8</v>
      </c>
      <c r="L48" s="258">
        <f>IF(L44=D49,1,IF(L44=E49,2,IF(L44=F49,3,IF(L44=G49,4,IF(L44=H49,5,IF(L44=I49,6,IF(L44=J49,7,IF(L44=K49,8,IF(L44=L49,9,IF(L44=M49,10,11))))))))))</f>
        <v>9</v>
      </c>
      <c r="M48" s="258">
        <f>IF(M44=D49,1,IF(M44=E49,2,IF(M44=F49,3,IF(M44=G49,4,IF(M44=H49,5,IF(M44=I49,6,IF(M44=J49,7,IF(M44=K49,8,IF(M44=L49,9,IF(M44=M49,10,11))))))))))</f>
        <v>6</v>
      </c>
      <c r="N48" s="259">
        <f>IF(N44=D49,1,IF(N44=E49,2,IF(N44=F49,3,IF(N44=G49,4,IF(N44=H49,5,IF(N44=I49,6,IF(N44=J49,7,IF(N44=K49,8,IF(N44=L49,9,IF(N44=M49,10,11))))))))))</f>
        <v>7</v>
      </c>
      <c r="O48" s="19"/>
    </row>
    <row r="49" spans="3:20" x14ac:dyDescent="0.2">
      <c r="C49" s="54"/>
      <c r="D49" s="54">
        <f>SMALL(D44:N44,1)</f>
        <v>3.0808080808080805E-2</v>
      </c>
      <c r="E49" s="54">
        <f>SMALL(D44:N44,2)</f>
        <v>3.6363636363636362E-2</v>
      </c>
      <c r="F49" s="54">
        <f>SMALL(D44:N44,3)</f>
        <v>5.6565656565656569E-2</v>
      </c>
      <c r="G49" s="54">
        <f>SMALL(D44:N44,4)</f>
        <v>7.0707070707070718E-2</v>
      </c>
      <c r="H49" s="54">
        <f>SMALL(D44:N44,5)</f>
        <v>7.7777777777777779E-2</v>
      </c>
      <c r="I49" s="54">
        <f>SMALL(D44:N44,6)</f>
        <v>8.3838383838383837E-2</v>
      </c>
      <c r="J49" s="54">
        <f>SMALL(D44:N44,7)</f>
        <v>0.11868686868686869</v>
      </c>
      <c r="K49" s="54">
        <f>SMALL(D44:N44,8)</f>
        <v>0.12575757575757576</v>
      </c>
      <c r="L49" s="54">
        <f>SMALL(D44:N44,9)</f>
        <v>0.12828282828282828</v>
      </c>
      <c r="M49" s="54">
        <f>SMALL(D44:N44,10)</f>
        <v>0.13333333333333333</v>
      </c>
      <c r="N49" s="54">
        <f>SMALL(D44:N44,11)</f>
        <v>0.13787878787878788</v>
      </c>
      <c r="O49" s="19"/>
    </row>
    <row r="53" spans="3:20" x14ac:dyDescent="0.2">
      <c r="O53" s="35"/>
      <c r="P53" s="35"/>
      <c r="Q53" s="35"/>
      <c r="R53" s="35"/>
      <c r="S53" s="35"/>
      <c r="T53" s="35"/>
    </row>
    <row r="72" spans="3:14" x14ac:dyDescent="0.2">
      <c r="D72" s="27"/>
    </row>
    <row r="73" spans="3:14" x14ac:dyDescent="0.2">
      <c r="C73" s="27"/>
    </row>
    <row r="79" spans="3:14" x14ac:dyDescent="0.2">
      <c r="F79" s="33"/>
      <c r="G79" s="33"/>
      <c r="H79" s="33"/>
      <c r="I79" s="33"/>
      <c r="J79" s="33"/>
      <c r="K79" s="33"/>
      <c r="L79" s="33"/>
      <c r="M79" s="33"/>
      <c r="N79" s="33"/>
    </row>
    <row r="82" spans="3:18" x14ac:dyDescent="0.2">
      <c r="C82" s="1"/>
      <c r="D82" s="1"/>
      <c r="E82" s="1"/>
      <c r="F82" s="1"/>
      <c r="G82" s="1"/>
      <c r="H82" s="1"/>
      <c r="I82" s="1"/>
    </row>
    <row r="83" spans="3:18" x14ac:dyDescent="0.2">
      <c r="C83" s="1"/>
      <c r="D83" s="1"/>
      <c r="E83" s="1"/>
      <c r="F83" s="1"/>
      <c r="G83" s="1"/>
      <c r="H83" s="1"/>
      <c r="I83" s="1"/>
    </row>
    <row r="84" spans="3:18" x14ac:dyDescent="0.2">
      <c r="C84" s="282"/>
      <c r="D84" s="282"/>
      <c r="E84" s="282"/>
      <c r="F84" s="282"/>
      <c r="G84" s="282"/>
      <c r="H84" s="2"/>
      <c r="I84" s="2"/>
      <c r="J84" s="2"/>
      <c r="K84" s="2"/>
      <c r="L84" s="2"/>
      <c r="M84" s="2"/>
      <c r="N84" s="2"/>
    </row>
    <row r="85" spans="3:18" x14ac:dyDescent="0.2">
      <c r="C85" s="282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3:18" x14ac:dyDescent="0.2"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P86" s="1"/>
      <c r="Q86" s="1"/>
      <c r="R86" s="1"/>
    </row>
    <row r="87" spans="3:18" x14ac:dyDescent="0.2"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P87" s="1"/>
      <c r="Q87" s="1"/>
      <c r="R87" s="1"/>
    </row>
    <row r="88" spans="3:18" x14ac:dyDescent="0.2"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P88" s="1"/>
      <c r="Q88" s="1"/>
      <c r="R88" s="1"/>
    </row>
    <row r="89" spans="3:18" x14ac:dyDescent="0.2"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P89" s="1"/>
      <c r="Q89" s="1"/>
      <c r="R89" s="1"/>
    </row>
    <row r="90" spans="3:18" ht="15.75" x14ac:dyDescent="0.2"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P90" s="1"/>
      <c r="Q90" s="4"/>
      <c r="R90" s="1"/>
    </row>
    <row r="91" spans="3:18" ht="15.75" x14ac:dyDescent="0.2"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P91" s="1"/>
      <c r="Q91" s="4"/>
      <c r="R91" s="1"/>
    </row>
    <row r="92" spans="3:18" ht="15.75" x14ac:dyDescent="0.2"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P92" s="1"/>
      <c r="Q92" s="4"/>
      <c r="R92" s="1"/>
    </row>
    <row r="93" spans="3:18" ht="15.75" x14ac:dyDescent="0.2"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P93" s="1"/>
      <c r="Q93" s="4"/>
      <c r="R93" s="1"/>
    </row>
    <row r="94" spans="3:18" ht="15.75" x14ac:dyDescent="0.2"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P94" s="1"/>
      <c r="Q94" s="4"/>
      <c r="R94" s="1"/>
    </row>
    <row r="95" spans="3:18" ht="15.75" x14ac:dyDescent="0.2"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P95" s="1"/>
      <c r="Q95" s="4"/>
      <c r="R95" s="1"/>
    </row>
    <row r="96" spans="3:18" x14ac:dyDescent="0.2"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P96" s="1"/>
      <c r="Q96" s="1"/>
      <c r="R96" s="1"/>
    </row>
    <row r="97" spans="3:18" x14ac:dyDescent="0.2">
      <c r="C97" s="11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>
        <f>SUM(D97:G97)</f>
        <v>0</v>
      </c>
      <c r="P97" s="1"/>
      <c r="Q97" s="1"/>
      <c r="R97" s="1"/>
    </row>
    <row r="98" spans="3:18" x14ac:dyDescent="0.2">
      <c r="C98" s="11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8"/>
      <c r="P98" s="1"/>
      <c r="Q98" s="1"/>
      <c r="R98" s="1"/>
    </row>
    <row r="99" spans="3:18" ht="15.75" x14ac:dyDescent="0.25">
      <c r="C99" s="11"/>
      <c r="D99" s="21"/>
      <c r="E99" s="10"/>
      <c r="F99" s="10"/>
      <c r="G99" s="10"/>
      <c r="H99" s="10"/>
      <c r="I99" s="10"/>
      <c r="J99" s="10"/>
      <c r="K99" s="10"/>
      <c r="L99" s="10"/>
      <c r="M99" s="10"/>
      <c r="N99" s="10"/>
      <c r="P99" s="1"/>
      <c r="Q99" s="1"/>
      <c r="R99" s="1"/>
    </row>
    <row r="100" spans="3:18" x14ac:dyDescent="0.2">
      <c r="C100" s="11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3:18" x14ac:dyDescent="0.2">
      <c r="C101" s="1"/>
      <c r="D101" s="1"/>
      <c r="E101" s="1"/>
      <c r="F101" s="1"/>
      <c r="G101" s="1"/>
      <c r="H101" s="1"/>
      <c r="I101" s="1"/>
    </row>
  </sheetData>
  <sheetProtection selectLockedCells="1" selectUnlockedCells="1"/>
  <mergeCells count="4">
    <mergeCell ref="C10:C11"/>
    <mergeCell ref="D10:N10"/>
    <mergeCell ref="C84:C85"/>
    <mergeCell ref="D84:G84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V100"/>
  <sheetViews>
    <sheetView topLeftCell="A4" workbookViewId="0">
      <selection activeCell="C5" sqref="C5"/>
    </sheetView>
  </sheetViews>
  <sheetFormatPr defaultRowHeight="12.75" x14ac:dyDescent="0.2"/>
  <cols>
    <col min="3" max="3" width="23" customWidth="1"/>
    <col min="4" max="11" width="8.28515625" customWidth="1"/>
    <col min="13" max="13" width="8.85546875" customWidth="1"/>
    <col min="14" max="14" width="45" customWidth="1"/>
  </cols>
  <sheetData>
    <row r="5" spans="3:15" x14ac:dyDescent="0.2">
      <c r="C5" s="147" t="s">
        <v>183</v>
      </c>
    </row>
    <row r="8" spans="3:15" x14ac:dyDescent="0.2">
      <c r="C8" s="48" t="s">
        <v>29</v>
      </c>
      <c r="D8" s="48"/>
      <c r="E8" s="19"/>
      <c r="F8" s="19"/>
      <c r="G8" s="19"/>
      <c r="H8" s="19"/>
      <c r="I8" s="19"/>
      <c r="J8" s="19"/>
      <c r="K8" s="19"/>
      <c r="L8" s="19"/>
    </row>
    <row r="9" spans="3:15" ht="13.5" thickBot="1" x14ac:dyDescent="0.25"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3:15" ht="15" customHeight="1" thickBot="1" x14ac:dyDescent="0.25">
      <c r="C10" s="283" t="s">
        <v>1</v>
      </c>
      <c r="D10" s="285" t="s">
        <v>180</v>
      </c>
      <c r="E10" s="285"/>
      <c r="F10" s="285"/>
      <c r="G10" s="285"/>
      <c r="H10" s="285"/>
      <c r="I10" s="285"/>
      <c r="J10" s="285"/>
      <c r="K10" s="285"/>
      <c r="L10" s="19"/>
      <c r="M10" s="109" t="s">
        <v>2</v>
      </c>
      <c r="N10" s="261" t="s">
        <v>49</v>
      </c>
    </row>
    <row r="11" spans="3:15" ht="15" customHeight="1" thickBot="1" x14ac:dyDescent="0.25">
      <c r="C11" s="284"/>
      <c r="D11" s="144" t="s">
        <v>2</v>
      </c>
      <c r="E11" s="145" t="s">
        <v>3</v>
      </c>
      <c r="F11" s="145" t="s">
        <v>4</v>
      </c>
      <c r="G11" s="145" t="s">
        <v>5</v>
      </c>
      <c r="H11" s="145" t="s">
        <v>6</v>
      </c>
      <c r="I11" s="145" t="s">
        <v>7</v>
      </c>
      <c r="J11" s="240" t="s">
        <v>8</v>
      </c>
      <c r="K11" s="241" t="s">
        <v>9</v>
      </c>
      <c r="L11" s="19"/>
      <c r="M11" s="109" t="s">
        <v>3</v>
      </c>
      <c r="N11" s="261" t="s">
        <v>167</v>
      </c>
    </row>
    <row r="12" spans="3:15" ht="15" customHeight="1" x14ac:dyDescent="0.2">
      <c r="C12" s="245" t="s">
        <v>10</v>
      </c>
      <c r="D12" s="243">
        <v>1</v>
      </c>
      <c r="E12" s="232">
        <v>3</v>
      </c>
      <c r="F12" s="232">
        <v>8</v>
      </c>
      <c r="G12" s="232">
        <v>5</v>
      </c>
      <c r="H12" s="232">
        <v>6</v>
      </c>
      <c r="I12" s="232">
        <v>2</v>
      </c>
      <c r="J12" s="232">
        <v>4</v>
      </c>
      <c r="K12" s="233">
        <v>7</v>
      </c>
      <c r="L12" s="19"/>
      <c r="M12" s="109" t="s">
        <v>4</v>
      </c>
      <c r="N12" s="261" t="s">
        <v>103</v>
      </c>
    </row>
    <row r="13" spans="3:15" ht="15" customHeight="1" x14ac:dyDescent="0.2">
      <c r="C13" s="246" t="s">
        <v>11</v>
      </c>
      <c r="D13" s="190">
        <v>2</v>
      </c>
      <c r="E13" s="182">
        <v>3</v>
      </c>
      <c r="F13" s="182">
        <v>8</v>
      </c>
      <c r="G13" s="182">
        <v>5</v>
      </c>
      <c r="H13" s="182">
        <v>6</v>
      </c>
      <c r="I13" s="182">
        <v>1</v>
      </c>
      <c r="J13" s="182">
        <v>4</v>
      </c>
      <c r="K13" s="198">
        <v>7</v>
      </c>
      <c r="L13" s="19"/>
      <c r="M13" s="109" t="s">
        <v>5</v>
      </c>
      <c r="N13" s="261" t="s">
        <v>104</v>
      </c>
    </row>
    <row r="14" spans="3:15" ht="15" customHeight="1" x14ac:dyDescent="0.2">
      <c r="C14" s="246" t="s">
        <v>12</v>
      </c>
      <c r="D14" s="191">
        <v>1</v>
      </c>
      <c r="E14" s="183">
        <v>6</v>
      </c>
      <c r="F14" s="183">
        <v>7</v>
      </c>
      <c r="G14" s="183">
        <v>5</v>
      </c>
      <c r="H14" s="239">
        <v>8</v>
      </c>
      <c r="I14" s="183">
        <v>3</v>
      </c>
      <c r="J14" s="183">
        <v>2</v>
      </c>
      <c r="K14" s="242">
        <v>4</v>
      </c>
      <c r="L14" s="19"/>
      <c r="M14" s="109" t="s">
        <v>6</v>
      </c>
      <c r="N14" s="261" t="s">
        <v>105</v>
      </c>
    </row>
    <row r="15" spans="3:15" ht="15" customHeight="1" x14ac:dyDescent="0.2">
      <c r="C15" s="246" t="s">
        <v>13</v>
      </c>
      <c r="D15" s="190">
        <v>1</v>
      </c>
      <c r="E15" s="182">
        <v>7</v>
      </c>
      <c r="F15" s="182">
        <v>6</v>
      </c>
      <c r="G15" s="182">
        <v>8</v>
      </c>
      <c r="H15" s="182">
        <v>5</v>
      </c>
      <c r="I15" s="182">
        <v>2</v>
      </c>
      <c r="J15" s="182">
        <v>4</v>
      </c>
      <c r="K15" s="198">
        <v>3</v>
      </c>
      <c r="L15" s="19"/>
      <c r="M15" s="109" t="s">
        <v>7</v>
      </c>
      <c r="N15" s="261" t="s">
        <v>106</v>
      </c>
      <c r="O15" s="1"/>
    </row>
    <row r="16" spans="3:15" ht="15" customHeight="1" x14ac:dyDescent="0.2">
      <c r="C16" s="246" t="s">
        <v>14</v>
      </c>
      <c r="D16" s="190">
        <v>1</v>
      </c>
      <c r="E16" s="182">
        <v>7</v>
      </c>
      <c r="F16" s="182">
        <v>8</v>
      </c>
      <c r="G16" s="182">
        <v>5</v>
      </c>
      <c r="H16" s="182">
        <v>6</v>
      </c>
      <c r="I16" s="182">
        <v>4</v>
      </c>
      <c r="J16" s="182">
        <v>2</v>
      </c>
      <c r="K16" s="198">
        <v>3</v>
      </c>
      <c r="L16" s="19"/>
      <c r="M16" s="109" t="s">
        <v>8</v>
      </c>
      <c r="N16" s="261" t="s">
        <v>107</v>
      </c>
      <c r="O16" s="1"/>
    </row>
    <row r="17" spans="3:22" ht="15" customHeight="1" x14ac:dyDescent="0.2">
      <c r="C17" s="246" t="s">
        <v>15</v>
      </c>
      <c r="D17" s="190">
        <v>1</v>
      </c>
      <c r="E17" s="182">
        <v>7</v>
      </c>
      <c r="F17" s="182">
        <v>5</v>
      </c>
      <c r="G17" s="182">
        <v>8</v>
      </c>
      <c r="H17" s="182">
        <v>6</v>
      </c>
      <c r="I17" s="182">
        <v>2</v>
      </c>
      <c r="J17" s="182">
        <v>4</v>
      </c>
      <c r="K17" s="198">
        <v>3</v>
      </c>
      <c r="L17" s="19"/>
      <c r="M17" s="109" t="s">
        <v>9</v>
      </c>
      <c r="N17" s="261" t="s">
        <v>168</v>
      </c>
      <c r="O17" s="1"/>
    </row>
    <row r="18" spans="3:22" ht="15" customHeight="1" x14ac:dyDescent="0.25">
      <c r="C18" s="246" t="s">
        <v>16</v>
      </c>
      <c r="D18" s="191">
        <v>1</v>
      </c>
      <c r="E18" s="183">
        <v>6</v>
      </c>
      <c r="F18" s="183">
        <v>4</v>
      </c>
      <c r="G18" s="183">
        <v>7</v>
      </c>
      <c r="H18" s="239">
        <v>8</v>
      </c>
      <c r="I18" s="183">
        <v>2</v>
      </c>
      <c r="J18" s="183">
        <v>3</v>
      </c>
      <c r="K18" s="242">
        <v>5</v>
      </c>
      <c r="L18" s="19"/>
      <c r="N18" s="3"/>
      <c r="O18" s="1"/>
    </row>
    <row r="19" spans="3:22" ht="15" customHeight="1" x14ac:dyDescent="0.2">
      <c r="C19" s="246" t="s">
        <v>17</v>
      </c>
      <c r="D19" s="164">
        <v>2</v>
      </c>
      <c r="E19" s="165">
        <v>6</v>
      </c>
      <c r="F19" s="165">
        <v>4</v>
      </c>
      <c r="G19" s="165">
        <v>8</v>
      </c>
      <c r="H19" s="165">
        <v>7</v>
      </c>
      <c r="I19" s="165">
        <v>1</v>
      </c>
      <c r="J19" s="165">
        <v>3</v>
      </c>
      <c r="K19" s="166">
        <v>5</v>
      </c>
      <c r="L19" s="19"/>
      <c r="N19" s="43" t="s">
        <v>179</v>
      </c>
      <c r="O19" s="1"/>
    </row>
    <row r="20" spans="3:22" ht="15" customHeight="1" x14ac:dyDescent="0.2">
      <c r="C20" s="246" t="s">
        <v>18</v>
      </c>
      <c r="D20" s="192">
        <v>1</v>
      </c>
      <c r="E20" s="79">
        <v>2</v>
      </c>
      <c r="F20" s="79">
        <v>6</v>
      </c>
      <c r="G20" s="79">
        <v>7</v>
      </c>
      <c r="H20" s="79">
        <v>8</v>
      </c>
      <c r="I20" s="79">
        <v>3</v>
      </c>
      <c r="J20" s="79">
        <v>4</v>
      </c>
      <c r="K20" s="167">
        <v>5</v>
      </c>
      <c r="L20" s="19"/>
      <c r="N20" s="33"/>
      <c r="O20" s="1"/>
    </row>
    <row r="21" spans="3:22" ht="15" customHeight="1" x14ac:dyDescent="0.2">
      <c r="C21" s="246" t="s">
        <v>19</v>
      </c>
      <c r="D21" s="192">
        <v>1</v>
      </c>
      <c r="E21" s="79">
        <v>4</v>
      </c>
      <c r="F21" s="79">
        <v>5</v>
      </c>
      <c r="G21" s="79">
        <v>8</v>
      </c>
      <c r="H21" s="79">
        <v>6</v>
      </c>
      <c r="I21" s="79">
        <v>3</v>
      </c>
      <c r="J21" s="79">
        <v>2</v>
      </c>
      <c r="K21" s="167">
        <v>7</v>
      </c>
      <c r="L21" s="19"/>
      <c r="N21" s="19" t="s">
        <v>152</v>
      </c>
      <c r="O21" s="19">
        <f>L42/8</f>
        <v>135</v>
      </c>
      <c r="P21" s="19"/>
      <c r="Q21" s="19"/>
      <c r="R21" s="19"/>
      <c r="S21" s="19"/>
      <c r="T21" s="19"/>
      <c r="U21" s="19"/>
      <c r="V21" s="19"/>
    </row>
    <row r="22" spans="3:22" ht="15" customHeight="1" x14ac:dyDescent="0.2">
      <c r="C22" s="246" t="s">
        <v>41</v>
      </c>
      <c r="D22" s="192">
        <v>1</v>
      </c>
      <c r="E22" s="79">
        <v>8</v>
      </c>
      <c r="F22" s="79">
        <v>7</v>
      </c>
      <c r="G22" s="79">
        <v>4</v>
      </c>
      <c r="H22" s="79">
        <v>6</v>
      </c>
      <c r="I22" s="79">
        <v>3</v>
      </c>
      <c r="J22" s="79">
        <v>2</v>
      </c>
      <c r="K22" s="167">
        <v>5</v>
      </c>
      <c r="L22" s="19"/>
      <c r="N22" s="33"/>
      <c r="O22" s="19">
        <f>D42-O21</f>
        <v>-84</v>
      </c>
      <c r="P22" s="19">
        <f>E42-O21</f>
        <v>48</v>
      </c>
      <c r="Q22" s="19">
        <f>F42-O21</f>
        <v>54</v>
      </c>
      <c r="R22" s="19">
        <f>G42-O21</f>
        <v>61</v>
      </c>
      <c r="S22" s="19">
        <f>H42-O21</f>
        <v>24</v>
      </c>
      <c r="T22" s="19">
        <f>I42-O21</f>
        <v>-76</v>
      </c>
      <c r="U22" s="19">
        <f>J42-O21</f>
        <v>-20</v>
      </c>
      <c r="V22" s="19">
        <f>K42-O21</f>
        <v>-7</v>
      </c>
    </row>
    <row r="23" spans="3:22" ht="15" customHeight="1" x14ac:dyDescent="0.2">
      <c r="C23" s="246" t="s">
        <v>42</v>
      </c>
      <c r="D23" s="192">
        <v>2</v>
      </c>
      <c r="E23" s="79">
        <v>8</v>
      </c>
      <c r="F23" s="79">
        <v>6</v>
      </c>
      <c r="G23" s="79">
        <v>5</v>
      </c>
      <c r="H23" s="79">
        <v>7</v>
      </c>
      <c r="I23" s="79">
        <v>1</v>
      </c>
      <c r="J23" s="79">
        <v>3</v>
      </c>
      <c r="K23" s="167">
        <v>4</v>
      </c>
      <c r="L23" s="19"/>
      <c r="N23" s="33"/>
      <c r="O23" s="19">
        <f t="shared" ref="O23:V23" si="0">O22*O22</f>
        <v>7056</v>
      </c>
      <c r="P23" s="19">
        <f t="shared" si="0"/>
        <v>2304</v>
      </c>
      <c r="Q23" s="19">
        <f t="shared" si="0"/>
        <v>2916</v>
      </c>
      <c r="R23" s="19">
        <f t="shared" si="0"/>
        <v>3721</v>
      </c>
      <c r="S23" s="19">
        <f t="shared" si="0"/>
        <v>576</v>
      </c>
      <c r="T23" s="19">
        <f t="shared" si="0"/>
        <v>5776</v>
      </c>
      <c r="U23" s="19">
        <f t="shared" si="0"/>
        <v>400</v>
      </c>
      <c r="V23" s="19">
        <f t="shared" si="0"/>
        <v>49</v>
      </c>
    </row>
    <row r="24" spans="3:22" ht="15" customHeight="1" x14ac:dyDescent="0.2">
      <c r="C24" s="246" t="s">
        <v>43</v>
      </c>
      <c r="D24" s="164">
        <v>1</v>
      </c>
      <c r="E24" s="165">
        <v>7</v>
      </c>
      <c r="F24" s="165">
        <v>6</v>
      </c>
      <c r="G24" s="165">
        <v>5</v>
      </c>
      <c r="H24" s="165">
        <v>8</v>
      </c>
      <c r="I24" s="165">
        <v>2</v>
      </c>
      <c r="J24" s="165">
        <v>4</v>
      </c>
      <c r="K24" s="166">
        <v>3</v>
      </c>
      <c r="L24" s="19"/>
      <c r="N24" s="44" t="s">
        <v>0</v>
      </c>
      <c r="O24" s="19">
        <f>SUM(O23:V23)</f>
        <v>22798</v>
      </c>
      <c r="P24" s="19"/>
      <c r="Q24" s="19"/>
      <c r="R24" s="19"/>
      <c r="S24" s="19"/>
      <c r="T24" s="19"/>
      <c r="U24" s="19"/>
      <c r="V24" s="19"/>
    </row>
    <row r="25" spans="3:22" ht="15" customHeight="1" x14ac:dyDescent="0.2">
      <c r="C25" s="246" t="s">
        <v>44</v>
      </c>
      <c r="D25" s="192">
        <v>1</v>
      </c>
      <c r="E25" s="79">
        <v>6</v>
      </c>
      <c r="F25" s="79">
        <v>4</v>
      </c>
      <c r="G25" s="79">
        <v>8</v>
      </c>
      <c r="H25" s="79">
        <v>7</v>
      </c>
      <c r="I25" s="79">
        <v>2</v>
      </c>
      <c r="J25" s="79">
        <v>3</v>
      </c>
      <c r="K25" s="167">
        <v>5</v>
      </c>
      <c r="L25" s="19"/>
      <c r="N25" s="43" t="s">
        <v>178</v>
      </c>
      <c r="O25" s="19">
        <f>12*O24</f>
        <v>273576</v>
      </c>
      <c r="P25" s="19"/>
      <c r="Q25" s="19"/>
      <c r="R25" s="19"/>
      <c r="S25" s="19"/>
      <c r="T25" s="19"/>
      <c r="U25" s="19"/>
      <c r="V25" s="19"/>
    </row>
    <row r="26" spans="3:22" ht="15" customHeight="1" x14ac:dyDescent="0.2">
      <c r="C26" s="247" t="s">
        <v>45</v>
      </c>
      <c r="D26" s="193">
        <v>1</v>
      </c>
      <c r="E26" s="83">
        <v>7</v>
      </c>
      <c r="F26" s="83">
        <v>6</v>
      </c>
      <c r="G26" s="83">
        <v>5</v>
      </c>
      <c r="H26" s="83">
        <v>8</v>
      </c>
      <c r="I26" s="83">
        <v>3</v>
      </c>
      <c r="J26" s="83">
        <v>2</v>
      </c>
      <c r="K26" s="221">
        <v>4</v>
      </c>
      <c r="L26" s="19"/>
      <c r="N26" s="33"/>
      <c r="O26" s="19">
        <v>900</v>
      </c>
      <c r="P26" s="19"/>
      <c r="Q26" s="19"/>
      <c r="R26" s="19"/>
      <c r="S26" s="19"/>
      <c r="T26" s="19"/>
      <c r="U26" s="19"/>
      <c r="V26" s="19"/>
    </row>
    <row r="27" spans="3:22" s="33" customFormat="1" ht="15" customHeight="1" x14ac:dyDescent="0.2">
      <c r="C27" s="156" t="s">
        <v>124</v>
      </c>
      <c r="D27" s="192">
        <v>4</v>
      </c>
      <c r="E27" s="79">
        <v>8</v>
      </c>
      <c r="F27" s="79">
        <v>7</v>
      </c>
      <c r="G27" s="79">
        <v>6</v>
      </c>
      <c r="H27" s="79">
        <v>2</v>
      </c>
      <c r="I27" s="79">
        <v>1</v>
      </c>
      <c r="J27" s="79">
        <v>5</v>
      </c>
      <c r="K27" s="167">
        <v>3</v>
      </c>
      <c r="L27" s="19"/>
      <c r="O27" s="19">
        <f>O26*504</f>
        <v>453600</v>
      </c>
      <c r="P27" s="19"/>
      <c r="Q27" s="19"/>
      <c r="R27" s="19"/>
      <c r="S27" s="19"/>
      <c r="T27" s="19"/>
      <c r="U27" s="19"/>
      <c r="V27" s="19"/>
    </row>
    <row r="28" spans="3:22" s="33" customFormat="1" ht="15" customHeight="1" x14ac:dyDescent="0.2">
      <c r="C28" s="156" t="s">
        <v>125</v>
      </c>
      <c r="D28" s="192">
        <v>4</v>
      </c>
      <c r="E28" s="79">
        <v>7</v>
      </c>
      <c r="F28" s="79">
        <v>8</v>
      </c>
      <c r="G28" s="79">
        <v>6</v>
      </c>
      <c r="H28" s="79">
        <v>2</v>
      </c>
      <c r="I28" s="79">
        <v>1</v>
      </c>
      <c r="J28" s="79">
        <v>5</v>
      </c>
      <c r="K28" s="167">
        <v>3</v>
      </c>
      <c r="L28" s="19"/>
      <c r="N28" s="44" t="s">
        <v>40</v>
      </c>
      <c r="O28" s="54">
        <f>O25/O27</f>
        <v>0.60312169312169317</v>
      </c>
      <c r="P28" s="19"/>
      <c r="Q28" s="19"/>
      <c r="R28" s="19"/>
      <c r="S28" s="19"/>
      <c r="T28" s="19"/>
      <c r="U28" s="19"/>
      <c r="V28" s="19"/>
    </row>
    <row r="29" spans="3:22" s="33" customFormat="1" ht="15" customHeight="1" x14ac:dyDescent="0.2">
      <c r="C29" s="156" t="s">
        <v>126</v>
      </c>
      <c r="D29" s="192">
        <v>1</v>
      </c>
      <c r="E29" s="79">
        <v>8</v>
      </c>
      <c r="F29" s="79">
        <v>7</v>
      </c>
      <c r="G29" s="79">
        <v>5</v>
      </c>
      <c r="H29" s="79">
        <v>4</v>
      </c>
      <c r="I29" s="79">
        <v>2</v>
      </c>
      <c r="J29" s="79">
        <v>6</v>
      </c>
      <c r="K29" s="167">
        <v>3</v>
      </c>
      <c r="L29" s="19"/>
      <c r="N29" s="39" t="s">
        <v>185</v>
      </c>
      <c r="O29" s="238">
        <f>O25/2160</f>
        <v>126.65555555555555</v>
      </c>
      <c r="P29" s="19"/>
      <c r="Q29" s="19"/>
      <c r="R29" s="19"/>
      <c r="S29" s="19"/>
      <c r="T29" s="19"/>
      <c r="U29" s="19"/>
      <c r="V29" s="19"/>
    </row>
    <row r="30" spans="3:22" s="33" customFormat="1" ht="15" customHeight="1" x14ac:dyDescent="0.25">
      <c r="C30" s="156" t="s">
        <v>127</v>
      </c>
      <c r="D30" s="192">
        <v>3</v>
      </c>
      <c r="E30" s="79">
        <v>8</v>
      </c>
      <c r="F30" s="79">
        <v>6</v>
      </c>
      <c r="G30" s="79">
        <v>7</v>
      </c>
      <c r="H30" s="79">
        <v>4</v>
      </c>
      <c r="I30" s="79">
        <v>1</v>
      </c>
      <c r="J30" s="79">
        <v>5</v>
      </c>
      <c r="K30" s="167">
        <v>2</v>
      </c>
      <c r="L30" s="19"/>
      <c r="N30" s="3"/>
      <c r="O30" s="1"/>
    </row>
    <row r="31" spans="3:22" s="33" customFormat="1" ht="15" customHeight="1" x14ac:dyDescent="0.25">
      <c r="C31" s="156" t="s">
        <v>128</v>
      </c>
      <c r="D31" s="192">
        <v>1</v>
      </c>
      <c r="E31" s="79">
        <v>7</v>
      </c>
      <c r="F31" s="79">
        <v>8</v>
      </c>
      <c r="G31" s="79">
        <v>6</v>
      </c>
      <c r="H31" s="79">
        <v>3</v>
      </c>
      <c r="I31" s="79">
        <v>2</v>
      </c>
      <c r="J31" s="79">
        <v>5</v>
      </c>
      <c r="K31" s="167">
        <v>4</v>
      </c>
      <c r="L31" s="19"/>
      <c r="N31" s="3"/>
      <c r="O31" s="1"/>
    </row>
    <row r="32" spans="3:22" s="33" customFormat="1" ht="15" customHeight="1" x14ac:dyDescent="0.25">
      <c r="C32" s="156" t="s">
        <v>129</v>
      </c>
      <c r="D32" s="192">
        <v>4</v>
      </c>
      <c r="E32" s="79">
        <v>5</v>
      </c>
      <c r="F32" s="79">
        <v>7</v>
      </c>
      <c r="G32" s="79">
        <v>8</v>
      </c>
      <c r="H32" s="79">
        <v>6</v>
      </c>
      <c r="I32" s="79">
        <v>1</v>
      </c>
      <c r="J32" s="79">
        <v>2</v>
      </c>
      <c r="K32" s="167">
        <v>3</v>
      </c>
      <c r="L32" s="19"/>
      <c r="N32" s="3"/>
      <c r="O32" s="1"/>
    </row>
    <row r="33" spans="3:17" s="33" customFormat="1" ht="15" customHeight="1" x14ac:dyDescent="0.25">
      <c r="C33" s="156" t="s">
        <v>130</v>
      </c>
      <c r="D33" s="192">
        <v>1</v>
      </c>
      <c r="E33" s="79">
        <v>4</v>
      </c>
      <c r="F33" s="79">
        <v>2</v>
      </c>
      <c r="G33" s="79">
        <v>8</v>
      </c>
      <c r="H33" s="79">
        <v>5</v>
      </c>
      <c r="I33" s="79">
        <v>3</v>
      </c>
      <c r="J33" s="79">
        <v>6</v>
      </c>
      <c r="K33" s="167">
        <v>7</v>
      </c>
      <c r="L33" s="19"/>
      <c r="N33" s="3"/>
      <c r="O33" s="1"/>
    </row>
    <row r="34" spans="3:17" s="33" customFormat="1" ht="15" customHeight="1" x14ac:dyDescent="0.25">
      <c r="C34" s="156" t="s">
        <v>131</v>
      </c>
      <c r="D34" s="192">
        <v>1</v>
      </c>
      <c r="E34" s="79">
        <v>4</v>
      </c>
      <c r="F34" s="79">
        <v>8</v>
      </c>
      <c r="G34" s="79">
        <v>7</v>
      </c>
      <c r="H34" s="79">
        <v>3</v>
      </c>
      <c r="I34" s="79">
        <v>2</v>
      </c>
      <c r="J34" s="79">
        <v>6</v>
      </c>
      <c r="K34" s="167">
        <v>5</v>
      </c>
      <c r="L34" s="19"/>
      <c r="N34" s="3"/>
      <c r="O34" s="1"/>
    </row>
    <row r="35" spans="3:17" s="33" customFormat="1" ht="15" customHeight="1" x14ac:dyDescent="0.25">
      <c r="C35" s="156" t="s">
        <v>132</v>
      </c>
      <c r="D35" s="192">
        <v>4</v>
      </c>
      <c r="E35" s="79">
        <v>8</v>
      </c>
      <c r="F35" s="79">
        <v>7</v>
      </c>
      <c r="G35" s="79">
        <v>6</v>
      </c>
      <c r="H35" s="79">
        <v>5</v>
      </c>
      <c r="I35" s="79">
        <v>1</v>
      </c>
      <c r="J35" s="79">
        <v>3</v>
      </c>
      <c r="K35" s="167">
        <v>2</v>
      </c>
      <c r="L35" s="19"/>
      <c r="N35" s="3"/>
      <c r="O35" s="1"/>
    </row>
    <row r="36" spans="3:17" s="33" customFormat="1" ht="15" customHeight="1" x14ac:dyDescent="0.25">
      <c r="C36" s="156" t="s">
        <v>133</v>
      </c>
      <c r="D36" s="192">
        <v>1</v>
      </c>
      <c r="E36" s="79">
        <v>2</v>
      </c>
      <c r="F36" s="79">
        <v>8</v>
      </c>
      <c r="G36" s="79">
        <v>5</v>
      </c>
      <c r="H36" s="79">
        <v>3</v>
      </c>
      <c r="I36" s="79">
        <v>4</v>
      </c>
      <c r="J36" s="79">
        <v>6</v>
      </c>
      <c r="K36" s="167">
        <v>7</v>
      </c>
      <c r="L36" s="19"/>
      <c r="N36" s="3"/>
      <c r="O36" s="1"/>
    </row>
    <row r="37" spans="3:17" s="33" customFormat="1" ht="15" customHeight="1" x14ac:dyDescent="0.25">
      <c r="C37" s="156" t="s">
        <v>134</v>
      </c>
      <c r="D37" s="192">
        <v>2</v>
      </c>
      <c r="E37" s="79">
        <v>7</v>
      </c>
      <c r="F37" s="79">
        <v>6</v>
      </c>
      <c r="G37" s="79">
        <v>8</v>
      </c>
      <c r="H37" s="79">
        <v>3</v>
      </c>
      <c r="I37" s="79">
        <v>1</v>
      </c>
      <c r="J37" s="79">
        <v>5</v>
      </c>
      <c r="K37" s="167">
        <v>4</v>
      </c>
      <c r="L37" s="19"/>
      <c r="N37" s="3"/>
      <c r="O37" s="1"/>
    </row>
    <row r="38" spans="3:17" s="33" customFormat="1" ht="15" customHeight="1" x14ac:dyDescent="0.25">
      <c r="C38" s="156" t="s">
        <v>135</v>
      </c>
      <c r="D38" s="192">
        <v>1</v>
      </c>
      <c r="E38" s="79">
        <v>8</v>
      </c>
      <c r="F38" s="79">
        <v>6</v>
      </c>
      <c r="G38" s="79">
        <v>7</v>
      </c>
      <c r="H38" s="79">
        <v>5</v>
      </c>
      <c r="I38" s="79">
        <v>2</v>
      </c>
      <c r="J38" s="79">
        <v>3</v>
      </c>
      <c r="K38" s="167">
        <v>4</v>
      </c>
      <c r="L38" s="19"/>
      <c r="N38" s="3"/>
      <c r="O38" s="1"/>
    </row>
    <row r="39" spans="3:17" s="33" customFormat="1" ht="15" customHeight="1" x14ac:dyDescent="0.25">
      <c r="C39" s="156" t="s">
        <v>136</v>
      </c>
      <c r="D39" s="192">
        <v>3</v>
      </c>
      <c r="E39" s="79">
        <v>6</v>
      </c>
      <c r="F39" s="79">
        <v>7</v>
      </c>
      <c r="G39" s="79">
        <v>8</v>
      </c>
      <c r="H39" s="79">
        <v>2</v>
      </c>
      <c r="I39" s="79">
        <v>1</v>
      </c>
      <c r="J39" s="79">
        <v>5</v>
      </c>
      <c r="K39" s="167">
        <v>4</v>
      </c>
      <c r="L39" s="19"/>
      <c r="N39" s="3"/>
      <c r="O39" s="1"/>
    </row>
    <row r="40" spans="3:17" s="33" customFormat="1" ht="15" customHeight="1" x14ac:dyDescent="0.25">
      <c r="C40" s="156" t="s">
        <v>137</v>
      </c>
      <c r="D40" s="192">
        <v>2</v>
      </c>
      <c r="E40" s="79">
        <v>7</v>
      </c>
      <c r="F40" s="79">
        <v>6</v>
      </c>
      <c r="G40" s="79">
        <v>8</v>
      </c>
      <c r="H40" s="79">
        <v>5</v>
      </c>
      <c r="I40" s="79">
        <v>1</v>
      </c>
      <c r="J40" s="79">
        <v>4</v>
      </c>
      <c r="K40" s="167">
        <v>3</v>
      </c>
      <c r="L40" s="19"/>
      <c r="N40" s="3"/>
      <c r="O40" s="1"/>
    </row>
    <row r="41" spans="3:17" s="33" customFormat="1" ht="15" customHeight="1" thickBot="1" x14ac:dyDescent="0.3">
      <c r="C41" s="170" t="s">
        <v>138</v>
      </c>
      <c r="D41" s="244">
        <v>1</v>
      </c>
      <c r="E41" s="173">
        <v>7</v>
      </c>
      <c r="F41" s="173">
        <v>6</v>
      </c>
      <c r="G41" s="173">
        <v>8</v>
      </c>
      <c r="H41" s="173">
        <v>5</v>
      </c>
      <c r="I41" s="173">
        <v>2</v>
      </c>
      <c r="J41" s="173">
        <v>3</v>
      </c>
      <c r="K41" s="174">
        <v>4</v>
      </c>
      <c r="L41" s="19"/>
      <c r="N41" s="3"/>
      <c r="O41" s="1"/>
    </row>
    <row r="42" spans="3:17" ht="15" customHeight="1" x14ac:dyDescent="0.25">
      <c r="C42" s="150" t="s">
        <v>20</v>
      </c>
      <c r="D42" s="189">
        <f t="shared" ref="D42:K42" si="1">SUM(D12:D41)</f>
        <v>51</v>
      </c>
      <c r="E42" s="181">
        <f t="shared" si="1"/>
        <v>183</v>
      </c>
      <c r="F42" s="181">
        <f t="shared" si="1"/>
        <v>189</v>
      </c>
      <c r="G42" s="181">
        <f t="shared" si="1"/>
        <v>196</v>
      </c>
      <c r="H42" s="181">
        <f t="shared" si="1"/>
        <v>159</v>
      </c>
      <c r="I42" s="181">
        <f t="shared" si="1"/>
        <v>59</v>
      </c>
      <c r="J42" s="181">
        <f t="shared" si="1"/>
        <v>115</v>
      </c>
      <c r="K42" s="220">
        <f t="shared" si="1"/>
        <v>128</v>
      </c>
      <c r="L42" s="230">
        <f>SUM(D42:K42)</f>
        <v>1080</v>
      </c>
      <c r="N42" s="3"/>
      <c r="O42" s="1"/>
    </row>
    <row r="43" spans="3:17" x14ac:dyDescent="0.2">
      <c r="C43" s="116" t="s">
        <v>21</v>
      </c>
      <c r="D43" s="194">
        <f>(D42/30)</f>
        <v>1.7</v>
      </c>
      <c r="E43" s="187">
        <f t="shared" ref="E43:K43" si="2">(E42/30)</f>
        <v>6.1</v>
      </c>
      <c r="F43" s="187">
        <f t="shared" si="2"/>
        <v>6.3</v>
      </c>
      <c r="G43" s="187">
        <f t="shared" si="2"/>
        <v>6.5333333333333332</v>
      </c>
      <c r="H43" s="187">
        <f t="shared" si="2"/>
        <v>5.3</v>
      </c>
      <c r="I43" s="187">
        <f t="shared" si="2"/>
        <v>1.9666666666666666</v>
      </c>
      <c r="J43" s="187">
        <f t="shared" si="2"/>
        <v>3.8333333333333335</v>
      </c>
      <c r="K43" s="212">
        <f t="shared" si="2"/>
        <v>4.2666666666666666</v>
      </c>
      <c r="L43" s="53">
        <f>SUM(D43:K43)</f>
        <v>36</v>
      </c>
      <c r="N43" s="1"/>
      <c r="O43" s="1"/>
    </row>
    <row r="44" spans="3:17" x14ac:dyDescent="0.2">
      <c r="C44" s="116" t="s">
        <v>184</v>
      </c>
      <c r="D44" s="194">
        <f>(D43/L43)</f>
        <v>4.7222222222222221E-2</v>
      </c>
      <c r="E44" s="187">
        <f>(E43/L43)</f>
        <v>0.16944444444444443</v>
      </c>
      <c r="F44" s="187">
        <f>(F43/L43)</f>
        <v>0.17499999999999999</v>
      </c>
      <c r="G44" s="187">
        <f>(G43/L43)</f>
        <v>0.18148148148148147</v>
      </c>
      <c r="H44" s="187">
        <f>(H43/L43)</f>
        <v>0.14722222222222223</v>
      </c>
      <c r="I44" s="187">
        <f>(I43/L43)</f>
        <v>5.4629629629629625E-2</v>
      </c>
      <c r="J44" s="187">
        <f>(J43/L43)</f>
        <v>0.10648148148148148</v>
      </c>
      <c r="K44" s="212">
        <f>(K43/L43)</f>
        <v>0.11851851851851852</v>
      </c>
      <c r="L44" s="54"/>
      <c r="N44" s="9"/>
      <c r="O44" s="9"/>
      <c r="P44" s="9"/>
      <c r="Q44" s="9"/>
    </row>
    <row r="45" spans="3:17" x14ac:dyDescent="0.2">
      <c r="C45" s="116"/>
      <c r="D45" s="194">
        <f>1-D44</f>
        <v>0.95277777777777772</v>
      </c>
      <c r="E45" s="187">
        <f t="shared" ref="E45:K45" si="3">1-E44</f>
        <v>0.8305555555555556</v>
      </c>
      <c r="F45" s="187">
        <f t="shared" si="3"/>
        <v>0.82499999999999996</v>
      </c>
      <c r="G45" s="187">
        <f t="shared" si="3"/>
        <v>0.81851851851851853</v>
      </c>
      <c r="H45" s="187">
        <f t="shared" si="3"/>
        <v>0.85277777777777775</v>
      </c>
      <c r="I45" s="187">
        <f t="shared" si="3"/>
        <v>0.94537037037037042</v>
      </c>
      <c r="J45" s="187">
        <f t="shared" si="3"/>
        <v>0.89351851851851849</v>
      </c>
      <c r="K45" s="212">
        <f t="shared" si="3"/>
        <v>0.88148148148148153</v>
      </c>
      <c r="L45" s="54">
        <f>SUM(D45:K45)</f>
        <v>6.9999999999999991</v>
      </c>
      <c r="N45" s="9"/>
      <c r="O45" s="9"/>
      <c r="P45" s="9"/>
      <c r="Q45" s="9"/>
    </row>
    <row r="46" spans="3:17" x14ac:dyDescent="0.2">
      <c r="C46" s="116" t="s">
        <v>161</v>
      </c>
      <c r="D46" s="194">
        <f>D45/7</f>
        <v>0.1361111111111111</v>
      </c>
      <c r="E46" s="187">
        <f t="shared" ref="E46:K46" si="4">E45/7</f>
        <v>0.11865079365079366</v>
      </c>
      <c r="F46" s="187">
        <f t="shared" si="4"/>
        <v>0.11785714285714285</v>
      </c>
      <c r="G46" s="187">
        <f t="shared" si="4"/>
        <v>0.11693121693121693</v>
      </c>
      <c r="H46" s="187">
        <f t="shared" si="4"/>
        <v>0.12182539682539682</v>
      </c>
      <c r="I46" s="187">
        <f t="shared" si="4"/>
        <v>0.13505291005291006</v>
      </c>
      <c r="J46" s="187">
        <f t="shared" si="4"/>
        <v>0.12764550264550265</v>
      </c>
      <c r="K46" s="212">
        <f t="shared" si="4"/>
        <v>0.12592592592592594</v>
      </c>
      <c r="L46" s="54">
        <f>SUM(D46:K46)</f>
        <v>1</v>
      </c>
      <c r="N46" s="9"/>
      <c r="O46" s="9"/>
      <c r="P46" s="9"/>
      <c r="Q46" s="9"/>
    </row>
    <row r="47" spans="3:17" ht="15.75" x14ac:dyDescent="0.25">
      <c r="C47" s="116"/>
      <c r="D47" s="218"/>
      <c r="E47" s="219"/>
      <c r="F47" s="219"/>
      <c r="G47" s="219"/>
      <c r="H47" s="219"/>
      <c r="I47" s="219"/>
      <c r="J47" s="219"/>
      <c r="K47" s="223"/>
      <c r="L47" s="19"/>
    </row>
    <row r="48" spans="3:17" ht="13.5" thickBot="1" x14ac:dyDescent="0.25">
      <c r="C48" s="118" t="s">
        <v>22</v>
      </c>
      <c r="D48" s="237">
        <f>IF(D44=D49,1,IF(D44=E49,2,IF(D44=F49,3,IF(D44=G49,4,IF(D44=H49,5,IF(D44=I49,6,IF(D44=J49,7,8)))))))</f>
        <v>1</v>
      </c>
      <c r="E48" s="235">
        <f>IF(E44=D49,1,IF(E44=E49,2,IF(E44=F49,3,IF(E44=G49,4,IF(E44=H49,5,IF(E44=I49,6,IF(E44=J49,7,8)))))))</f>
        <v>6</v>
      </c>
      <c r="F48" s="235">
        <f>IF(F44=D49,1,IF(F44=E49,2,IF(F44=F49,3,IF(F44=G49,4,IF(F44=H49,5,IF(F44=I49,6,IF(F44=J49,7,8)))))))</f>
        <v>7</v>
      </c>
      <c r="G48" s="235">
        <f>IF(G44=D49,1,IF(G44=E49,2,IF(G44=F49,3,IF(G44=G49,4,IF(G44=H49,5,IF(G44=I49,6,IF(G44=J49,7,8)))))))</f>
        <v>8</v>
      </c>
      <c r="H48" s="235">
        <f>IF(H44=D49,1,IF(H44=E49,2,IF(H44=F49,3,IF(H44=G49,4,IF(H44=H49,5,IF(H44=I49,6,IF(H44=J49,7,8)))))))</f>
        <v>5</v>
      </c>
      <c r="I48" s="235">
        <f>IF(I44=D49,1,IF(I44=E49,2,IF(I44=F49,3,IF(I44=G49,4,IF(I44=H49,5,IF(I44=I49,6,IF(I44=J49,7,8)))))))</f>
        <v>2</v>
      </c>
      <c r="J48" s="235">
        <f>IF(J44=D49,1,IF(J44=E49,2,IF(J44=F49,3,IF(J44=G49,4,IF(J44=H49,5,IF(J44=I49,6,IF(J44=J49,7,8)))))))</f>
        <v>3</v>
      </c>
      <c r="K48" s="236">
        <f>IF(K44=D49,1,IF(K44=E49,2,IF(K44=F49,3,IF(K44=G49,4,IF(K44=H49,5,IF(K44=I49,6,IF(K44=J49,7,8)))))))</f>
        <v>4</v>
      </c>
      <c r="L48" s="19"/>
    </row>
    <row r="49" spans="3:16" x14ac:dyDescent="0.2">
      <c r="C49" s="54" t="s">
        <v>28</v>
      </c>
      <c r="D49" s="54">
        <f>SMALL(D44:K44,1)</f>
        <v>4.7222222222222221E-2</v>
      </c>
      <c r="E49" s="54">
        <f>SMALL(D44:K44,2)</f>
        <v>5.4629629629629625E-2</v>
      </c>
      <c r="F49" s="54">
        <f>SMALL(D44:K44,3)</f>
        <v>0.10648148148148148</v>
      </c>
      <c r="G49" s="54">
        <f>SMALL(D44:K44,4)</f>
        <v>0.11851851851851852</v>
      </c>
      <c r="H49" s="54">
        <f>SMALL(D44:K44,5)</f>
        <v>0.14722222222222223</v>
      </c>
      <c r="I49" s="54">
        <f>SMALL(D44:K44,6)</f>
        <v>0.16944444444444443</v>
      </c>
      <c r="J49" s="54">
        <f>SMALL(D44:K44,7)</f>
        <v>0.17499999999999999</v>
      </c>
      <c r="K49" s="54">
        <f>SMALL(D44:K44,8)</f>
        <v>0.18148148148148147</v>
      </c>
      <c r="L49" s="19"/>
    </row>
    <row r="51" spans="3:16" x14ac:dyDescent="0.2">
      <c r="D51" s="20"/>
      <c r="E51" s="20"/>
      <c r="F51" s="20"/>
      <c r="G51" s="20"/>
      <c r="H51" s="20"/>
      <c r="I51" s="20"/>
      <c r="J51" s="20"/>
      <c r="K51" s="20"/>
    </row>
    <row r="52" spans="3:16" x14ac:dyDescent="0.2">
      <c r="D52" s="20"/>
      <c r="E52" s="20"/>
      <c r="F52" s="20"/>
      <c r="G52" s="20"/>
      <c r="H52" s="20"/>
      <c r="I52" s="20"/>
      <c r="J52" s="20"/>
      <c r="K52" s="20"/>
      <c r="L52" s="35"/>
      <c r="M52" s="35"/>
      <c r="N52" s="35"/>
      <c r="O52" s="35"/>
      <c r="P52" s="35"/>
    </row>
    <row r="53" spans="3:16" x14ac:dyDescent="0.2">
      <c r="K53" s="35"/>
      <c r="L53" s="35"/>
      <c r="M53" s="35"/>
      <c r="N53" s="35"/>
      <c r="O53" s="35"/>
      <c r="P53" s="35"/>
    </row>
    <row r="54" spans="3:16" x14ac:dyDescent="0.2">
      <c r="K54" s="35"/>
      <c r="L54" s="35"/>
      <c r="M54" s="35"/>
      <c r="N54" s="35"/>
      <c r="O54" s="35"/>
      <c r="P54" s="35"/>
    </row>
    <row r="55" spans="3:16" x14ac:dyDescent="0.2">
      <c r="K55" s="35"/>
      <c r="L55" s="35"/>
      <c r="M55" s="35"/>
      <c r="N55" s="35"/>
      <c r="O55" s="35"/>
      <c r="P55" s="35"/>
    </row>
    <row r="56" spans="3:16" x14ac:dyDescent="0.2">
      <c r="K56" s="35"/>
      <c r="L56" s="35"/>
      <c r="M56" s="35"/>
      <c r="N56" s="35"/>
      <c r="O56" s="35"/>
      <c r="P56" s="35"/>
    </row>
    <row r="57" spans="3:16" x14ac:dyDescent="0.2">
      <c r="K57" s="35"/>
      <c r="L57" s="35"/>
      <c r="M57" s="35"/>
      <c r="N57" s="35"/>
      <c r="O57" s="35"/>
      <c r="P57" s="35"/>
    </row>
    <row r="58" spans="3:16" x14ac:dyDescent="0.2">
      <c r="K58" s="35"/>
      <c r="L58" s="35"/>
      <c r="M58" s="35"/>
      <c r="N58" s="35"/>
      <c r="O58" s="35"/>
      <c r="P58" s="35"/>
    </row>
    <row r="59" spans="3:16" x14ac:dyDescent="0.2">
      <c r="K59" s="35"/>
      <c r="L59" s="35"/>
      <c r="M59" s="35"/>
      <c r="N59" s="35"/>
      <c r="O59" s="35"/>
      <c r="P59" s="35"/>
    </row>
    <row r="60" spans="3:16" x14ac:dyDescent="0.2">
      <c r="K60" s="35"/>
      <c r="L60" s="35"/>
      <c r="M60" s="35"/>
      <c r="N60" s="35"/>
      <c r="O60" s="35"/>
      <c r="P60" s="35"/>
    </row>
    <row r="61" spans="3:16" x14ac:dyDescent="0.2">
      <c r="K61" s="35"/>
      <c r="L61" s="35"/>
      <c r="M61" s="35"/>
      <c r="N61" s="35"/>
      <c r="O61" s="35"/>
      <c r="P61" s="35"/>
    </row>
    <row r="62" spans="3:16" x14ac:dyDescent="0.2">
      <c r="K62" s="35"/>
      <c r="L62" s="35"/>
      <c r="M62" s="35"/>
      <c r="N62" s="35"/>
      <c r="O62" s="35"/>
      <c r="P62" s="35"/>
    </row>
    <row r="63" spans="3:16" x14ac:dyDescent="0.2">
      <c r="K63" s="35"/>
      <c r="L63" s="35"/>
      <c r="M63" s="35"/>
      <c r="N63" s="35"/>
      <c r="O63" s="35"/>
      <c r="P63" s="35"/>
    </row>
    <row r="64" spans="3:16" x14ac:dyDescent="0.2">
      <c r="K64" s="35"/>
      <c r="L64" s="35"/>
      <c r="M64" s="35"/>
      <c r="N64" s="35"/>
      <c r="O64" s="35"/>
      <c r="P64" s="35"/>
    </row>
    <row r="65" spans="11:21" x14ac:dyDescent="0.2">
      <c r="K65" s="35"/>
      <c r="L65" s="35"/>
      <c r="M65" s="35"/>
      <c r="N65" s="35"/>
      <c r="O65" s="35"/>
      <c r="P65" s="35"/>
    </row>
    <row r="66" spans="11:21" x14ac:dyDescent="0.2">
      <c r="K66" s="35"/>
      <c r="L66" s="35"/>
      <c r="M66" s="35"/>
      <c r="N66" s="35"/>
      <c r="O66" s="35"/>
      <c r="P66" s="35"/>
    </row>
    <row r="79" spans="11:21" x14ac:dyDescent="0.2">
      <c r="O79" t="s">
        <v>49</v>
      </c>
      <c r="T79" t="s">
        <v>123</v>
      </c>
      <c r="U79" t="s">
        <v>107</v>
      </c>
    </row>
    <row r="81" spans="2:22" x14ac:dyDescent="0.2">
      <c r="D81" t="s">
        <v>23</v>
      </c>
    </row>
    <row r="82" spans="2:22" x14ac:dyDescent="0.2">
      <c r="B82" s="1"/>
      <c r="C82" s="1"/>
      <c r="D82" s="1"/>
      <c r="E82" s="1"/>
      <c r="F82" s="1"/>
      <c r="G82" s="1"/>
      <c r="H82" s="1"/>
      <c r="I82" s="1"/>
      <c r="J82" s="1"/>
    </row>
    <row r="83" spans="2:22" x14ac:dyDescent="0.2">
      <c r="B83" s="1"/>
      <c r="C83" s="1"/>
      <c r="D83" s="1"/>
      <c r="E83" s="1"/>
      <c r="F83" s="1"/>
      <c r="G83" s="1"/>
      <c r="H83" s="1"/>
      <c r="I83" s="1"/>
      <c r="J83" s="1"/>
      <c r="O83" t="s">
        <v>49</v>
      </c>
      <c r="P83">
        <v>2</v>
      </c>
      <c r="Q83">
        <v>3</v>
      </c>
      <c r="R83">
        <v>4</v>
      </c>
      <c r="S83">
        <v>5</v>
      </c>
      <c r="T83">
        <v>6</v>
      </c>
      <c r="U83">
        <v>7</v>
      </c>
      <c r="V83">
        <v>8</v>
      </c>
    </row>
    <row r="84" spans="2:22" x14ac:dyDescent="0.2">
      <c r="B84" s="1"/>
      <c r="C84" s="282"/>
      <c r="D84" s="282"/>
      <c r="E84" s="282"/>
      <c r="F84" s="282"/>
      <c r="G84" s="282"/>
      <c r="H84" s="2"/>
      <c r="I84" s="2"/>
      <c r="J84" s="2"/>
      <c r="K84" s="2"/>
    </row>
    <row r="85" spans="2:22" x14ac:dyDescent="0.2">
      <c r="B85" s="1"/>
      <c r="C85" s="282"/>
      <c r="D85" s="5"/>
      <c r="E85" s="5"/>
      <c r="F85" s="5"/>
      <c r="G85" s="5"/>
      <c r="H85" s="5"/>
      <c r="I85" s="5"/>
      <c r="J85" s="5"/>
      <c r="K85" s="5"/>
    </row>
    <row r="86" spans="2:22" x14ac:dyDescent="0.2">
      <c r="B86" s="1"/>
      <c r="C86" s="6"/>
      <c r="D86" s="1"/>
      <c r="E86" s="1"/>
      <c r="F86" s="1"/>
      <c r="G86" s="1"/>
      <c r="H86" s="1"/>
      <c r="I86" s="1"/>
      <c r="J86" s="1"/>
      <c r="K86" s="1"/>
      <c r="M86" s="1"/>
      <c r="N86" s="1"/>
      <c r="O86" s="1"/>
    </row>
    <row r="87" spans="2:22" x14ac:dyDescent="0.2">
      <c r="B87" s="1"/>
      <c r="C87" s="6"/>
      <c r="D87" s="28" t="s">
        <v>50</v>
      </c>
      <c r="E87" s="1"/>
      <c r="F87" s="1"/>
      <c r="G87" s="1"/>
      <c r="H87" s="1"/>
      <c r="I87" s="1"/>
      <c r="J87" s="1"/>
      <c r="K87" s="1"/>
      <c r="M87" s="1"/>
      <c r="N87" s="1"/>
      <c r="O87" s="1"/>
    </row>
    <row r="88" spans="2:22" x14ac:dyDescent="0.2">
      <c r="B88" s="1"/>
      <c r="C88" s="28">
        <v>0.13600000000000001</v>
      </c>
      <c r="D88" s="29">
        <f>D46*0.136</f>
        <v>1.851111111111111E-2</v>
      </c>
      <c r="E88" s="29">
        <f t="shared" ref="E88:K88" si="5">E46*0.136</f>
        <v>1.6136507936507938E-2</v>
      </c>
      <c r="F88" s="29">
        <f t="shared" si="5"/>
        <v>1.602857142857143E-2</v>
      </c>
      <c r="G88" s="29">
        <f t="shared" si="5"/>
        <v>1.5902645502645502E-2</v>
      </c>
      <c r="H88" s="29">
        <f t="shared" si="5"/>
        <v>1.6568253968253968E-2</v>
      </c>
      <c r="I88" s="29">
        <f t="shared" si="5"/>
        <v>1.8367195767195772E-2</v>
      </c>
      <c r="J88" s="29">
        <f t="shared" si="5"/>
        <v>1.735978835978836E-2</v>
      </c>
      <c r="K88" s="29">
        <f t="shared" si="5"/>
        <v>1.712592592592593E-2</v>
      </c>
      <c r="L88" s="1"/>
      <c r="M88" s="1"/>
      <c r="N88" s="1"/>
      <c r="O88" s="1"/>
    </row>
    <row r="89" spans="2:22" x14ac:dyDescent="0.2">
      <c r="B89" s="1"/>
      <c r="C89" s="6"/>
      <c r="D89" s="1"/>
      <c r="E89" s="1"/>
      <c r="F89" s="1"/>
      <c r="G89" s="1"/>
      <c r="H89" s="1"/>
      <c r="I89" s="1"/>
      <c r="J89" s="1"/>
      <c r="K89" s="1"/>
      <c r="M89" s="1"/>
      <c r="N89" s="1"/>
      <c r="O89" s="1"/>
    </row>
    <row r="90" spans="2:22" ht="15.75" x14ac:dyDescent="0.2">
      <c r="B90" s="1"/>
      <c r="C90" s="6"/>
      <c r="D90" s="1"/>
      <c r="E90" s="1"/>
      <c r="F90" s="1"/>
      <c r="G90" s="1"/>
      <c r="H90" s="1"/>
      <c r="I90" s="1"/>
      <c r="J90" s="1"/>
      <c r="K90" s="1"/>
      <c r="M90" s="1"/>
      <c r="N90" s="4"/>
      <c r="O90" s="1"/>
    </row>
    <row r="91" spans="2:22" ht="15.75" x14ac:dyDescent="0.2">
      <c r="B91" s="1"/>
      <c r="C91" s="6"/>
      <c r="D91" s="1"/>
      <c r="E91" s="1"/>
      <c r="F91" s="1"/>
      <c r="G91" s="1"/>
      <c r="H91" s="1"/>
      <c r="I91" s="1"/>
      <c r="J91" s="1"/>
      <c r="K91" s="1"/>
      <c r="M91" s="1"/>
      <c r="N91" s="4"/>
      <c r="O91" s="1"/>
    </row>
    <row r="92" spans="2:22" ht="15.75" x14ac:dyDescent="0.2">
      <c r="B92" s="1"/>
      <c r="C92" s="6"/>
      <c r="D92" s="1"/>
      <c r="E92" s="1"/>
      <c r="F92" s="1"/>
      <c r="G92" s="1"/>
      <c r="H92" s="1"/>
      <c r="I92" s="1"/>
      <c r="J92" s="1"/>
      <c r="K92" s="1"/>
      <c r="M92" s="1"/>
      <c r="N92" s="4"/>
      <c r="O92" s="1"/>
    </row>
    <row r="93" spans="2:22" ht="15.75" x14ac:dyDescent="0.2">
      <c r="B93" s="1"/>
      <c r="C93" s="6"/>
      <c r="D93" s="1"/>
      <c r="E93" s="1"/>
      <c r="F93" s="1"/>
      <c r="G93" s="1"/>
      <c r="H93" s="1"/>
      <c r="I93" s="1"/>
      <c r="J93" s="1"/>
      <c r="K93" s="1"/>
      <c r="M93" s="1"/>
      <c r="N93" s="4"/>
      <c r="O93" s="1"/>
    </row>
    <row r="94" spans="2:22" ht="15.75" x14ac:dyDescent="0.2">
      <c r="B94" s="1"/>
      <c r="C94" s="6"/>
      <c r="D94" s="1"/>
      <c r="E94" s="1"/>
      <c r="F94" s="1"/>
      <c r="G94" s="1"/>
      <c r="H94" s="1"/>
      <c r="I94" s="1"/>
      <c r="J94" s="1"/>
      <c r="K94" s="1"/>
      <c r="M94" s="1"/>
      <c r="N94" s="4"/>
      <c r="O94" s="1"/>
    </row>
    <row r="95" spans="2:22" ht="15.75" x14ac:dyDescent="0.2">
      <c r="B95" s="1"/>
      <c r="C95" s="6"/>
      <c r="D95" s="1"/>
      <c r="E95" s="1"/>
      <c r="F95" s="1"/>
      <c r="G95" s="1"/>
      <c r="H95" s="1"/>
      <c r="I95" s="1"/>
      <c r="J95" s="1"/>
      <c r="K95" s="1"/>
      <c r="M95" s="1"/>
      <c r="N95" s="4"/>
      <c r="O95" s="1"/>
    </row>
    <row r="96" spans="2:22" x14ac:dyDescent="0.2">
      <c r="B96" s="1"/>
      <c r="C96" s="6"/>
      <c r="D96" s="1"/>
      <c r="E96" s="1"/>
      <c r="F96" s="1"/>
      <c r="G96" s="1"/>
      <c r="H96" s="1"/>
      <c r="I96" s="1"/>
      <c r="J96" s="1"/>
      <c r="K96" s="1"/>
      <c r="M96" s="1"/>
      <c r="N96" s="1"/>
      <c r="O96" s="1"/>
    </row>
    <row r="97" spans="2:15" x14ac:dyDescent="0.2">
      <c r="B97" s="1"/>
      <c r="C97" s="11"/>
      <c r="D97" s="6"/>
      <c r="E97" s="6"/>
      <c r="F97" s="6"/>
      <c r="G97" s="6"/>
      <c r="H97" s="6"/>
      <c r="I97" s="6"/>
      <c r="J97" s="6"/>
      <c r="K97" s="6"/>
      <c r="L97">
        <f>SUM(D97:G97)</f>
        <v>0</v>
      </c>
      <c r="M97" s="1"/>
      <c r="N97" s="1"/>
      <c r="O97" s="1"/>
    </row>
    <row r="98" spans="2:15" x14ac:dyDescent="0.2">
      <c r="B98" s="1"/>
      <c r="C98" s="11"/>
      <c r="D98" s="7"/>
      <c r="E98" s="7"/>
      <c r="F98" s="7"/>
      <c r="G98" s="7"/>
      <c r="H98" s="7"/>
      <c r="I98" s="7"/>
      <c r="J98" s="7"/>
      <c r="K98" s="7"/>
      <c r="L98" s="8"/>
      <c r="M98" s="1"/>
      <c r="N98" s="1"/>
      <c r="O98" s="1"/>
    </row>
    <row r="99" spans="2:15" ht="15.75" x14ac:dyDescent="0.25">
      <c r="B99" s="1"/>
      <c r="C99" s="11"/>
      <c r="D99" s="21"/>
      <c r="E99" s="10"/>
      <c r="F99" s="10"/>
      <c r="G99" s="10"/>
      <c r="H99" s="10"/>
      <c r="I99" s="10"/>
      <c r="J99" s="10"/>
      <c r="K99" s="10"/>
      <c r="M99" s="1"/>
      <c r="N99" s="1"/>
      <c r="O99" s="1"/>
    </row>
    <row r="100" spans="2:15" x14ac:dyDescent="0.2">
      <c r="B100" s="1"/>
      <c r="C100" s="11"/>
      <c r="D100" s="6"/>
      <c r="E100" s="6"/>
      <c r="F100" s="6"/>
      <c r="G100" s="6"/>
      <c r="H100" s="6"/>
      <c r="I100" s="6"/>
      <c r="J100" s="6"/>
      <c r="K100" s="6"/>
    </row>
  </sheetData>
  <sheetProtection selectLockedCells="1" selectUnlockedCells="1"/>
  <mergeCells count="4">
    <mergeCell ref="C10:C11"/>
    <mergeCell ref="D10:K10"/>
    <mergeCell ref="C84:C85"/>
    <mergeCell ref="D84:G84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F101"/>
  <sheetViews>
    <sheetView workbookViewId="0">
      <selection activeCell="C5" sqref="C5"/>
    </sheetView>
  </sheetViews>
  <sheetFormatPr defaultRowHeight="12.75" x14ac:dyDescent="0.2"/>
  <cols>
    <col min="3" max="3" width="24.7109375" customWidth="1"/>
    <col min="4" max="16" width="8.28515625" customWidth="1"/>
    <col min="18" max="18" width="13.5703125" customWidth="1"/>
    <col min="19" max="19" width="36" customWidth="1"/>
    <col min="20" max="20" width="12.5703125" bestFit="1" customWidth="1"/>
    <col min="21" max="22" width="10.5703125" bestFit="1" customWidth="1"/>
    <col min="23" max="23" width="9.28515625" bestFit="1" customWidth="1"/>
    <col min="24" max="25" width="9.5703125" bestFit="1" customWidth="1"/>
    <col min="26" max="28" width="9.28515625" bestFit="1" customWidth="1"/>
    <col min="29" max="29" width="9.5703125" bestFit="1" customWidth="1"/>
    <col min="30" max="30" width="10.5703125" bestFit="1" customWidth="1"/>
    <col min="31" max="31" width="9.5703125" bestFit="1" customWidth="1"/>
    <col min="32" max="32" width="10.5703125" bestFit="1" customWidth="1"/>
  </cols>
  <sheetData>
    <row r="5" spans="3:20" x14ac:dyDescent="0.2">
      <c r="C5" s="147" t="s">
        <v>183</v>
      </c>
    </row>
    <row r="8" spans="3:20" x14ac:dyDescent="0.2">
      <c r="C8" s="48" t="s">
        <v>30</v>
      </c>
      <c r="D8" s="4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3:20" ht="13.5" thickBot="1" x14ac:dyDescent="0.25"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3:20" ht="15" customHeight="1" thickBot="1" x14ac:dyDescent="0.25">
      <c r="C10" s="277" t="s">
        <v>1</v>
      </c>
      <c r="D10" s="279" t="s">
        <v>181</v>
      </c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1"/>
      <c r="Q10" s="19"/>
      <c r="R10" s="260" t="s">
        <v>2</v>
      </c>
      <c r="S10" s="261" t="s">
        <v>79</v>
      </c>
    </row>
    <row r="11" spans="3:20" ht="15" customHeight="1" thickBot="1" x14ac:dyDescent="0.25">
      <c r="C11" s="286"/>
      <c r="D11" s="196" t="s">
        <v>2</v>
      </c>
      <c r="E11" s="145" t="s">
        <v>3</v>
      </c>
      <c r="F11" s="145" t="s">
        <v>4</v>
      </c>
      <c r="G11" s="145" t="s">
        <v>5</v>
      </c>
      <c r="H11" s="145" t="s">
        <v>6</v>
      </c>
      <c r="I11" s="145" t="s">
        <v>7</v>
      </c>
      <c r="J11" s="145" t="s">
        <v>8</v>
      </c>
      <c r="K11" s="145" t="s">
        <v>9</v>
      </c>
      <c r="L11" s="145" t="s">
        <v>24</v>
      </c>
      <c r="M11" s="145" t="s">
        <v>25</v>
      </c>
      <c r="N11" s="146" t="s">
        <v>26</v>
      </c>
      <c r="O11" s="145" t="s">
        <v>31</v>
      </c>
      <c r="P11" s="228" t="s">
        <v>32</v>
      </c>
      <c r="Q11" s="19"/>
      <c r="R11" s="260" t="s">
        <v>3</v>
      </c>
      <c r="S11" s="261" t="s">
        <v>49</v>
      </c>
    </row>
    <row r="12" spans="3:20" ht="15" customHeight="1" x14ac:dyDescent="0.2">
      <c r="C12" s="120" t="s">
        <v>10</v>
      </c>
      <c r="D12" s="231">
        <v>4</v>
      </c>
      <c r="E12" s="232">
        <v>1</v>
      </c>
      <c r="F12" s="232">
        <v>2</v>
      </c>
      <c r="G12" s="232">
        <v>9</v>
      </c>
      <c r="H12" s="232">
        <v>8</v>
      </c>
      <c r="I12" s="232">
        <v>5</v>
      </c>
      <c r="J12" s="232">
        <v>7</v>
      </c>
      <c r="K12" s="232">
        <v>6</v>
      </c>
      <c r="L12" s="232">
        <v>3</v>
      </c>
      <c r="M12" s="232">
        <v>13</v>
      </c>
      <c r="N12" s="232">
        <v>12</v>
      </c>
      <c r="O12" s="232">
        <v>10</v>
      </c>
      <c r="P12" s="233">
        <v>11</v>
      </c>
      <c r="Q12" s="19"/>
      <c r="R12" s="260" t="s">
        <v>4</v>
      </c>
      <c r="S12" s="261" t="s">
        <v>90</v>
      </c>
    </row>
    <row r="13" spans="3:20" ht="15" customHeight="1" x14ac:dyDescent="0.2">
      <c r="C13" s="58" t="s">
        <v>11</v>
      </c>
      <c r="D13" s="197">
        <v>1</v>
      </c>
      <c r="E13" s="182">
        <v>2</v>
      </c>
      <c r="F13" s="182">
        <v>3</v>
      </c>
      <c r="G13" s="182">
        <v>11</v>
      </c>
      <c r="H13" s="182">
        <v>12</v>
      </c>
      <c r="I13" s="182">
        <v>5</v>
      </c>
      <c r="J13" s="182">
        <v>4</v>
      </c>
      <c r="K13" s="182">
        <v>7</v>
      </c>
      <c r="L13" s="182">
        <v>6</v>
      </c>
      <c r="M13" s="182">
        <v>10</v>
      </c>
      <c r="N13" s="182">
        <v>8</v>
      </c>
      <c r="O13" s="182">
        <v>9</v>
      </c>
      <c r="P13" s="198">
        <v>13</v>
      </c>
      <c r="Q13" s="19"/>
      <c r="R13" s="260" t="s">
        <v>5</v>
      </c>
      <c r="S13" s="261" t="s">
        <v>91</v>
      </c>
    </row>
    <row r="14" spans="3:20" ht="15" customHeight="1" x14ac:dyDescent="0.2">
      <c r="C14" s="58" t="s">
        <v>12</v>
      </c>
      <c r="D14" s="199">
        <v>6</v>
      </c>
      <c r="E14" s="183">
        <v>1</v>
      </c>
      <c r="F14" s="183">
        <v>3</v>
      </c>
      <c r="G14" s="183">
        <v>2</v>
      </c>
      <c r="H14" s="183">
        <v>7</v>
      </c>
      <c r="I14" s="183">
        <v>4</v>
      </c>
      <c r="J14" s="183">
        <v>8</v>
      </c>
      <c r="K14" s="183">
        <v>9</v>
      </c>
      <c r="L14" s="183">
        <v>11</v>
      </c>
      <c r="M14" s="183">
        <v>10</v>
      </c>
      <c r="N14" s="183">
        <v>13</v>
      </c>
      <c r="O14" s="183">
        <v>5</v>
      </c>
      <c r="P14" s="200">
        <v>12</v>
      </c>
      <c r="Q14" s="19"/>
      <c r="R14" s="260" t="s">
        <v>6</v>
      </c>
      <c r="S14" s="261" t="s">
        <v>92</v>
      </c>
    </row>
    <row r="15" spans="3:20" ht="15" customHeight="1" x14ac:dyDescent="0.2">
      <c r="C15" s="58" t="s">
        <v>13</v>
      </c>
      <c r="D15" s="197">
        <v>3</v>
      </c>
      <c r="E15" s="182">
        <v>2</v>
      </c>
      <c r="F15" s="182">
        <v>1</v>
      </c>
      <c r="G15" s="182">
        <v>11</v>
      </c>
      <c r="H15" s="182">
        <v>8</v>
      </c>
      <c r="I15" s="182">
        <v>4</v>
      </c>
      <c r="J15" s="182">
        <v>5</v>
      </c>
      <c r="K15" s="182">
        <v>9</v>
      </c>
      <c r="L15" s="182">
        <v>6</v>
      </c>
      <c r="M15" s="182">
        <v>10</v>
      </c>
      <c r="N15" s="182">
        <v>12</v>
      </c>
      <c r="O15" s="182">
        <v>7</v>
      </c>
      <c r="P15" s="198">
        <v>13</v>
      </c>
      <c r="Q15" s="19"/>
      <c r="R15" s="260" t="s">
        <v>7</v>
      </c>
      <c r="S15" s="261" t="s">
        <v>93</v>
      </c>
      <c r="T15" s="1"/>
    </row>
    <row r="16" spans="3:20" ht="15.75" customHeight="1" x14ac:dyDescent="0.2">
      <c r="C16" s="58" t="s">
        <v>14</v>
      </c>
      <c r="D16" s="197">
        <v>5</v>
      </c>
      <c r="E16" s="182">
        <v>1</v>
      </c>
      <c r="F16" s="182">
        <v>2</v>
      </c>
      <c r="G16" s="182">
        <v>11</v>
      </c>
      <c r="H16" s="182">
        <v>7</v>
      </c>
      <c r="I16" s="182">
        <v>6</v>
      </c>
      <c r="J16" s="182">
        <v>8</v>
      </c>
      <c r="K16" s="182">
        <v>9</v>
      </c>
      <c r="L16" s="182">
        <v>3</v>
      </c>
      <c r="M16" s="182">
        <v>4</v>
      </c>
      <c r="N16" s="182">
        <v>10</v>
      </c>
      <c r="O16" s="182">
        <v>12</v>
      </c>
      <c r="P16" s="198">
        <v>13</v>
      </c>
      <c r="Q16" s="19"/>
      <c r="R16" s="260" t="s">
        <v>8</v>
      </c>
      <c r="S16" s="261" t="s">
        <v>165</v>
      </c>
      <c r="T16" s="1"/>
    </row>
    <row r="17" spans="3:32" ht="15" customHeight="1" x14ac:dyDescent="0.2">
      <c r="C17" s="58" t="s">
        <v>15</v>
      </c>
      <c r="D17" s="197">
        <v>2</v>
      </c>
      <c r="E17" s="182">
        <v>1</v>
      </c>
      <c r="F17" s="182">
        <v>4</v>
      </c>
      <c r="G17" s="182">
        <v>8</v>
      </c>
      <c r="H17" s="182">
        <v>9</v>
      </c>
      <c r="I17" s="182">
        <v>7</v>
      </c>
      <c r="J17" s="182">
        <v>3</v>
      </c>
      <c r="K17" s="182">
        <v>6</v>
      </c>
      <c r="L17" s="182">
        <v>5</v>
      </c>
      <c r="M17" s="182">
        <v>13</v>
      </c>
      <c r="N17" s="182">
        <v>11</v>
      </c>
      <c r="O17" s="182">
        <v>10</v>
      </c>
      <c r="P17" s="198">
        <v>12</v>
      </c>
      <c r="Q17" s="19"/>
      <c r="R17" s="260" t="s">
        <v>9</v>
      </c>
      <c r="S17" s="261" t="s">
        <v>95</v>
      </c>
      <c r="T17" s="1"/>
    </row>
    <row r="18" spans="3:32" ht="15" customHeight="1" x14ac:dyDescent="0.2">
      <c r="C18" s="58" t="s">
        <v>16</v>
      </c>
      <c r="D18" s="199">
        <v>5</v>
      </c>
      <c r="E18" s="183">
        <v>2</v>
      </c>
      <c r="F18" s="183">
        <v>1</v>
      </c>
      <c r="G18" s="183">
        <v>7</v>
      </c>
      <c r="H18" s="183">
        <v>9</v>
      </c>
      <c r="I18" s="183">
        <v>3</v>
      </c>
      <c r="J18" s="183">
        <v>6</v>
      </c>
      <c r="K18" s="183">
        <v>12</v>
      </c>
      <c r="L18" s="183">
        <v>11</v>
      </c>
      <c r="M18" s="183">
        <v>4</v>
      </c>
      <c r="N18" s="183">
        <v>10</v>
      </c>
      <c r="O18" s="183">
        <v>8</v>
      </c>
      <c r="P18" s="200">
        <v>13</v>
      </c>
      <c r="Q18" s="19"/>
      <c r="R18" s="260" t="s">
        <v>24</v>
      </c>
      <c r="S18" s="261" t="s">
        <v>166</v>
      </c>
      <c r="T18" s="1"/>
    </row>
    <row r="19" spans="3:32" s="19" customFormat="1" ht="15" customHeight="1" x14ac:dyDescent="0.2">
      <c r="C19" s="58" t="s">
        <v>17</v>
      </c>
      <c r="D19" s="234">
        <v>5</v>
      </c>
      <c r="E19" s="165">
        <v>1</v>
      </c>
      <c r="F19" s="165">
        <v>3</v>
      </c>
      <c r="G19" s="165">
        <v>11</v>
      </c>
      <c r="H19" s="165">
        <v>10</v>
      </c>
      <c r="I19" s="165">
        <v>2</v>
      </c>
      <c r="J19" s="165">
        <v>6</v>
      </c>
      <c r="K19" s="165">
        <v>7</v>
      </c>
      <c r="L19" s="165">
        <v>12</v>
      </c>
      <c r="M19" s="165">
        <v>4</v>
      </c>
      <c r="N19" s="165">
        <v>13</v>
      </c>
      <c r="O19" s="165">
        <v>9</v>
      </c>
      <c r="P19" s="166">
        <v>8</v>
      </c>
      <c r="R19" s="260" t="s">
        <v>25</v>
      </c>
      <c r="S19" s="261" t="s">
        <v>97</v>
      </c>
      <c r="T19" s="107"/>
    </row>
    <row r="20" spans="3:32" ht="15" customHeight="1" x14ac:dyDescent="0.2">
      <c r="C20" s="58" t="s">
        <v>18</v>
      </c>
      <c r="D20" s="201">
        <v>2</v>
      </c>
      <c r="E20" s="79">
        <v>1</v>
      </c>
      <c r="F20" s="79">
        <v>4</v>
      </c>
      <c r="G20" s="79">
        <v>9</v>
      </c>
      <c r="H20" s="79">
        <v>8</v>
      </c>
      <c r="I20" s="79">
        <v>3</v>
      </c>
      <c r="J20" s="79">
        <v>7</v>
      </c>
      <c r="K20" s="79">
        <v>6</v>
      </c>
      <c r="L20" s="79">
        <v>5</v>
      </c>
      <c r="M20" s="79">
        <v>10</v>
      </c>
      <c r="N20" s="79">
        <v>12</v>
      </c>
      <c r="O20" s="79">
        <v>11</v>
      </c>
      <c r="P20" s="167">
        <v>13</v>
      </c>
      <c r="Q20" s="19"/>
      <c r="R20" s="260" t="s">
        <v>26</v>
      </c>
      <c r="S20" s="261" t="s">
        <v>98</v>
      </c>
      <c r="T20" s="1"/>
    </row>
    <row r="21" spans="3:32" ht="15" customHeight="1" x14ac:dyDescent="0.2">
      <c r="C21" s="58" t="s">
        <v>19</v>
      </c>
      <c r="D21" s="201">
        <v>1</v>
      </c>
      <c r="E21" s="79">
        <v>2</v>
      </c>
      <c r="F21" s="79">
        <v>3</v>
      </c>
      <c r="G21" s="79">
        <v>9</v>
      </c>
      <c r="H21" s="79">
        <v>8</v>
      </c>
      <c r="I21" s="79">
        <v>4</v>
      </c>
      <c r="J21" s="79">
        <v>6</v>
      </c>
      <c r="K21" s="79">
        <v>7</v>
      </c>
      <c r="L21" s="79">
        <v>5</v>
      </c>
      <c r="M21" s="79">
        <v>11</v>
      </c>
      <c r="N21" s="79">
        <v>12</v>
      </c>
      <c r="O21" s="79">
        <v>10</v>
      </c>
      <c r="P21" s="167">
        <v>13</v>
      </c>
      <c r="Q21" s="19"/>
      <c r="R21" s="260" t="s">
        <v>31</v>
      </c>
      <c r="S21" s="261" t="s">
        <v>99</v>
      </c>
      <c r="T21" s="1"/>
    </row>
    <row r="22" spans="3:32" ht="15" customHeight="1" x14ac:dyDescent="0.2">
      <c r="C22" s="58" t="s">
        <v>41</v>
      </c>
      <c r="D22" s="201">
        <v>3</v>
      </c>
      <c r="E22" s="79">
        <v>1</v>
      </c>
      <c r="F22" s="79">
        <v>2</v>
      </c>
      <c r="G22" s="79">
        <v>9</v>
      </c>
      <c r="H22" s="79">
        <v>5</v>
      </c>
      <c r="I22" s="79">
        <v>4</v>
      </c>
      <c r="J22" s="79">
        <v>6</v>
      </c>
      <c r="K22" s="79">
        <v>7</v>
      </c>
      <c r="L22" s="79">
        <v>8</v>
      </c>
      <c r="M22" s="79">
        <v>11</v>
      </c>
      <c r="N22" s="79">
        <v>13</v>
      </c>
      <c r="O22" s="79">
        <v>12</v>
      </c>
      <c r="P22" s="167">
        <v>10</v>
      </c>
      <c r="Q22" s="19"/>
      <c r="R22" s="260" t="s">
        <v>32</v>
      </c>
      <c r="S22" s="261" t="s">
        <v>100</v>
      </c>
      <c r="T22" s="1"/>
    </row>
    <row r="23" spans="3:32" ht="15" customHeight="1" x14ac:dyDescent="0.25">
      <c r="C23" s="58" t="s">
        <v>42</v>
      </c>
      <c r="D23" s="201">
        <v>3</v>
      </c>
      <c r="E23" s="79">
        <v>1</v>
      </c>
      <c r="F23" s="79">
        <v>2</v>
      </c>
      <c r="G23" s="79">
        <v>8</v>
      </c>
      <c r="H23" s="79">
        <v>7</v>
      </c>
      <c r="I23" s="79">
        <v>4</v>
      </c>
      <c r="J23" s="79">
        <v>6</v>
      </c>
      <c r="K23" s="79">
        <v>9</v>
      </c>
      <c r="L23" s="79">
        <v>10</v>
      </c>
      <c r="M23" s="79">
        <v>5</v>
      </c>
      <c r="N23" s="79">
        <v>12</v>
      </c>
      <c r="O23" s="79">
        <v>11</v>
      </c>
      <c r="P23" s="167">
        <v>13</v>
      </c>
      <c r="Q23" s="19"/>
      <c r="S23" s="3"/>
      <c r="T23" s="1"/>
    </row>
    <row r="24" spans="3:32" ht="15" customHeight="1" x14ac:dyDescent="0.2">
      <c r="C24" s="58" t="s">
        <v>43</v>
      </c>
      <c r="D24" s="234">
        <v>5</v>
      </c>
      <c r="E24" s="165">
        <v>6</v>
      </c>
      <c r="F24" s="165">
        <v>1</v>
      </c>
      <c r="G24" s="165">
        <v>9</v>
      </c>
      <c r="H24" s="165">
        <v>7</v>
      </c>
      <c r="I24" s="165">
        <v>4</v>
      </c>
      <c r="J24" s="165">
        <v>2</v>
      </c>
      <c r="K24" s="165">
        <v>13</v>
      </c>
      <c r="L24" s="165">
        <v>3</v>
      </c>
      <c r="M24" s="165">
        <v>11</v>
      </c>
      <c r="N24" s="165">
        <v>8</v>
      </c>
      <c r="O24" s="165">
        <v>10</v>
      </c>
      <c r="P24" s="166">
        <v>12</v>
      </c>
      <c r="Q24" s="19"/>
      <c r="S24" s="43" t="s">
        <v>179</v>
      </c>
      <c r="T24" s="1"/>
    </row>
    <row r="25" spans="3:32" ht="15" customHeight="1" x14ac:dyDescent="0.2">
      <c r="C25" s="58" t="s">
        <v>44</v>
      </c>
      <c r="D25" s="201">
        <v>5</v>
      </c>
      <c r="E25" s="79">
        <v>1</v>
      </c>
      <c r="F25" s="79">
        <v>2</v>
      </c>
      <c r="G25" s="79">
        <v>9</v>
      </c>
      <c r="H25" s="79">
        <v>11</v>
      </c>
      <c r="I25" s="79">
        <v>4</v>
      </c>
      <c r="J25" s="79">
        <v>6</v>
      </c>
      <c r="K25" s="79">
        <v>8</v>
      </c>
      <c r="L25" s="79">
        <v>3</v>
      </c>
      <c r="M25" s="79">
        <v>7</v>
      </c>
      <c r="N25" s="79">
        <v>10</v>
      </c>
      <c r="O25" s="79">
        <v>13</v>
      </c>
      <c r="P25" s="167">
        <v>12</v>
      </c>
      <c r="Q25" s="19"/>
      <c r="S25" s="33"/>
      <c r="T25" s="1"/>
    </row>
    <row r="26" spans="3:32" ht="15" customHeight="1" x14ac:dyDescent="0.2">
      <c r="C26" s="78" t="s">
        <v>45</v>
      </c>
      <c r="D26" s="202">
        <v>5</v>
      </c>
      <c r="E26" s="83">
        <v>2</v>
      </c>
      <c r="F26" s="83">
        <v>1</v>
      </c>
      <c r="G26" s="83">
        <v>11</v>
      </c>
      <c r="H26" s="83">
        <v>8</v>
      </c>
      <c r="I26" s="83">
        <v>4</v>
      </c>
      <c r="J26" s="83">
        <v>3</v>
      </c>
      <c r="K26" s="83">
        <v>7</v>
      </c>
      <c r="L26" s="83">
        <v>6</v>
      </c>
      <c r="M26" s="83">
        <v>10</v>
      </c>
      <c r="N26" s="83">
        <v>9</v>
      </c>
      <c r="O26" s="83">
        <v>13</v>
      </c>
      <c r="P26" s="221">
        <v>12</v>
      </c>
      <c r="Q26" s="19"/>
      <c r="S26" s="19" t="s">
        <v>152</v>
      </c>
      <c r="T26" s="248">
        <f>Q42/13</f>
        <v>210</v>
      </c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</row>
    <row r="27" spans="3:32" s="33" customFormat="1" ht="15" customHeight="1" x14ac:dyDescent="0.2">
      <c r="C27" s="80" t="s">
        <v>124</v>
      </c>
      <c r="D27" s="201">
        <v>4</v>
      </c>
      <c r="E27" s="79">
        <v>1</v>
      </c>
      <c r="F27" s="79">
        <v>3</v>
      </c>
      <c r="G27" s="79">
        <v>12</v>
      </c>
      <c r="H27" s="79">
        <v>9</v>
      </c>
      <c r="I27" s="79">
        <v>5</v>
      </c>
      <c r="J27" s="79">
        <v>2</v>
      </c>
      <c r="K27" s="79">
        <v>7</v>
      </c>
      <c r="L27" s="79">
        <v>6</v>
      </c>
      <c r="M27" s="79">
        <v>10</v>
      </c>
      <c r="N27" s="79">
        <v>13</v>
      </c>
      <c r="O27" s="79">
        <v>11</v>
      </c>
      <c r="P27" s="167">
        <v>8</v>
      </c>
      <c r="Q27" s="19"/>
      <c r="T27" s="248">
        <f>D42-T26</f>
        <v>-116</v>
      </c>
      <c r="U27" s="248">
        <f>E42-T26</f>
        <v>-151</v>
      </c>
      <c r="V27" s="248">
        <f>F42-T26</f>
        <v>-113</v>
      </c>
      <c r="W27" s="248">
        <f>G42-T26</f>
        <v>30</v>
      </c>
      <c r="X27" s="248">
        <f>H42-T26</f>
        <v>49</v>
      </c>
      <c r="Y27" s="248">
        <f>I42-T26</f>
        <v>-63</v>
      </c>
      <c r="Z27" s="248">
        <f>J42-T26</f>
        <v>-30</v>
      </c>
      <c r="AA27" s="248">
        <f>K42-T26</f>
        <v>17</v>
      </c>
      <c r="AB27" s="248">
        <f>L42-T26</f>
        <v>-2</v>
      </c>
      <c r="AC27" s="248">
        <f>M42-T26</f>
        <v>36</v>
      </c>
      <c r="AD27" s="248">
        <f>N42-T26</f>
        <v>112</v>
      </c>
      <c r="AE27" s="248">
        <f>O42-T26</f>
        <v>98</v>
      </c>
      <c r="AF27" s="248">
        <f>P42-T26</f>
        <v>133</v>
      </c>
    </row>
    <row r="28" spans="3:32" s="33" customFormat="1" ht="15" customHeight="1" x14ac:dyDescent="0.2">
      <c r="C28" s="80" t="s">
        <v>125</v>
      </c>
      <c r="D28" s="201">
        <v>1</v>
      </c>
      <c r="E28" s="79">
        <v>3</v>
      </c>
      <c r="F28" s="79">
        <v>8</v>
      </c>
      <c r="G28" s="79">
        <v>12</v>
      </c>
      <c r="H28" s="79">
        <v>13</v>
      </c>
      <c r="I28" s="79">
        <v>7</v>
      </c>
      <c r="J28" s="79">
        <v>2</v>
      </c>
      <c r="K28" s="79">
        <v>11</v>
      </c>
      <c r="L28" s="79">
        <v>4</v>
      </c>
      <c r="M28" s="79">
        <v>6</v>
      </c>
      <c r="N28" s="79">
        <v>9</v>
      </c>
      <c r="O28" s="79">
        <v>10</v>
      </c>
      <c r="P28" s="167">
        <v>5</v>
      </c>
      <c r="Q28" s="19"/>
      <c r="T28" s="248">
        <f t="shared" ref="T28:AF28" si="0">T27*T27</f>
        <v>13456</v>
      </c>
      <c r="U28" s="248">
        <f t="shared" si="0"/>
        <v>22801</v>
      </c>
      <c r="V28" s="248">
        <f t="shared" si="0"/>
        <v>12769</v>
      </c>
      <c r="W28" s="248">
        <f t="shared" si="0"/>
        <v>900</v>
      </c>
      <c r="X28" s="248">
        <f t="shared" si="0"/>
        <v>2401</v>
      </c>
      <c r="Y28" s="248">
        <f t="shared" si="0"/>
        <v>3969</v>
      </c>
      <c r="Z28" s="248">
        <f t="shared" si="0"/>
        <v>900</v>
      </c>
      <c r="AA28" s="248">
        <f t="shared" si="0"/>
        <v>289</v>
      </c>
      <c r="AB28" s="248">
        <f t="shared" si="0"/>
        <v>4</v>
      </c>
      <c r="AC28" s="248">
        <f t="shared" si="0"/>
        <v>1296</v>
      </c>
      <c r="AD28" s="248">
        <f t="shared" si="0"/>
        <v>12544</v>
      </c>
      <c r="AE28" s="248">
        <f t="shared" si="0"/>
        <v>9604</v>
      </c>
      <c r="AF28" s="248">
        <f t="shared" si="0"/>
        <v>17689</v>
      </c>
    </row>
    <row r="29" spans="3:32" s="33" customFormat="1" ht="15" customHeight="1" x14ac:dyDescent="0.2">
      <c r="C29" s="80" t="s">
        <v>126</v>
      </c>
      <c r="D29" s="201">
        <v>3</v>
      </c>
      <c r="E29" s="79">
        <v>5</v>
      </c>
      <c r="F29" s="79">
        <v>6</v>
      </c>
      <c r="G29" s="79">
        <v>8</v>
      </c>
      <c r="H29" s="79">
        <v>13</v>
      </c>
      <c r="I29" s="79">
        <v>7</v>
      </c>
      <c r="J29" s="79">
        <v>9</v>
      </c>
      <c r="K29" s="79">
        <v>2</v>
      </c>
      <c r="L29" s="79">
        <v>1</v>
      </c>
      <c r="M29" s="79">
        <v>4</v>
      </c>
      <c r="N29" s="79">
        <v>10</v>
      </c>
      <c r="O29" s="79">
        <v>11</v>
      </c>
      <c r="P29" s="167">
        <v>12</v>
      </c>
      <c r="Q29" s="19"/>
      <c r="S29" s="44" t="s">
        <v>0</v>
      </c>
      <c r="T29" s="248">
        <f>SUM(T28:AF28)</f>
        <v>98622</v>
      </c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</row>
    <row r="30" spans="3:32" s="33" customFormat="1" ht="15" customHeight="1" x14ac:dyDescent="0.2">
      <c r="C30" s="80" t="s">
        <v>127</v>
      </c>
      <c r="D30" s="201">
        <v>1</v>
      </c>
      <c r="E30" s="79">
        <v>7</v>
      </c>
      <c r="F30" s="79">
        <v>2</v>
      </c>
      <c r="G30" s="79">
        <v>10</v>
      </c>
      <c r="H30" s="79">
        <v>13</v>
      </c>
      <c r="I30" s="79">
        <v>3</v>
      </c>
      <c r="J30" s="79">
        <v>8</v>
      </c>
      <c r="K30" s="79">
        <v>9</v>
      </c>
      <c r="L30" s="79">
        <v>4</v>
      </c>
      <c r="M30" s="79">
        <v>5</v>
      </c>
      <c r="N30" s="79">
        <v>12</v>
      </c>
      <c r="O30" s="79">
        <v>6</v>
      </c>
      <c r="P30" s="167">
        <v>11</v>
      </c>
      <c r="Q30" s="19"/>
      <c r="S30" s="43" t="s">
        <v>178</v>
      </c>
      <c r="T30" s="248">
        <f>12*T29</f>
        <v>1183464</v>
      </c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</row>
    <row r="31" spans="3:32" s="33" customFormat="1" ht="15" customHeight="1" x14ac:dyDescent="0.2">
      <c r="C31" s="80" t="s">
        <v>128</v>
      </c>
      <c r="D31" s="201">
        <v>1</v>
      </c>
      <c r="E31" s="79">
        <v>3</v>
      </c>
      <c r="F31" s="79">
        <v>2</v>
      </c>
      <c r="G31" s="79">
        <v>7</v>
      </c>
      <c r="H31" s="79">
        <v>6</v>
      </c>
      <c r="I31" s="79">
        <v>4</v>
      </c>
      <c r="J31" s="79">
        <v>5</v>
      </c>
      <c r="K31" s="79">
        <v>10</v>
      </c>
      <c r="L31" s="79">
        <v>12</v>
      </c>
      <c r="M31" s="79">
        <v>8</v>
      </c>
      <c r="N31" s="79">
        <v>9</v>
      </c>
      <c r="O31" s="79">
        <v>11</v>
      </c>
      <c r="P31" s="167">
        <v>13</v>
      </c>
      <c r="Q31" s="19"/>
      <c r="T31" s="248">
        <v>900</v>
      </c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</row>
    <row r="32" spans="3:32" s="33" customFormat="1" ht="15" customHeight="1" x14ac:dyDescent="0.2">
      <c r="C32" s="80" t="s">
        <v>129</v>
      </c>
      <c r="D32" s="201">
        <v>1</v>
      </c>
      <c r="E32" s="79">
        <v>2</v>
      </c>
      <c r="F32" s="79">
        <v>4</v>
      </c>
      <c r="G32" s="79">
        <v>5</v>
      </c>
      <c r="H32" s="79">
        <v>10</v>
      </c>
      <c r="I32" s="79">
        <v>3</v>
      </c>
      <c r="J32" s="79">
        <v>12</v>
      </c>
      <c r="K32" s="79">
        <v>7</v>
      </c>
      <c r="L32" s="79">
        <v>8</v>
      </c>
      <c r="M32" s="79">
        <v>9</v>
      </c>
      <c r="N32" s="79">
        <v>6</v>
      </c>
      <c r="O32" s="79">
        <v>13</v>
      </c>
      <c r="P32" s="167">
        <v>11</v>
      </c>
      <c r="Q32" s="19"/>
      <c r="T32" s="248">
        <f>(T31*2184)</f>
        <v>1965600</v>
      </c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</row>
    <row r="33" spans="3:32" s="33" customFormat="1" ht="15" customHeight="1" x14ac:dyDescent="0.2">
      <c r="C33" s="80" t="s">
        <v>130</v>
      </c>
      <c r="D33" s="201">
        <v>2</v>
      </c>
      <c r="E33" s="79">
        <v>1</v>
      </c>
      <c r="F33" s="79">
        <v>10</v>
      </c>
      <c r="G33" s="79">
        <v>11</v>
      </c>
      <c r="H33" s="79">
        <v>12</v>
      </c>
      <c r="I33" s="79">
        <v>3</v>
      </c>
      <c r="J33" s="79">
        <v>5</v>
      </c>
      <c r="K33" s="79">
        <v>4</v>
      </c>
      <c r="L33" s="79">
        <v>13</v>
      </c>
      <c r="M33" s="79">
        <v>6</v>
      </c>
      <c r="N33" s="79">
        <v>7</v>
      </c>
      <c r="O33" s="79">
        <v>8</v>
      </c>
      <c r="P33" s="167">
        <v>9</v>
      </c>
      <c r="Q33" s="19"/>
      <c r="S33" s="44" t="s">
        <v>40</v>
      </c>
      <c r="T33" s="54">
        <f>T30/T32</f>
        <v>0.60208791208791212</v>
      </c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</row>
    <row r="34" spans="3:32" s="33" customFormat="1" ht="15" customHeight="1" x14ac:dyDescent="0.2">
      <c r="C34" s="80" t="s">
        <v>131</v>
      </c>
      <c r="D34" s="201">
        <v>4</v>
      </c>
      <c r="E34" s="79">
        <v>1</v>
      </c>
      <c r="F34" s="79">
        <v>8</v>
      </c>
      <c r="G34" s="79">
        <v>11</v>
      </c>
      <c r="H34" s="79">
        <v>7</v>
      </c>
      <c r="I34" s="79">
        <v>5</v>
      </c>
      <c r="J34" s="79">
        <v>2</v>
      </c>
      <c r="K34" s="79">
        <v>3</v>
      </c>
      <c r="L34" s="79">
        <v>12</v>
      </c>
      <c r="M34" s="79">
        <v>6</v>
      </c>
      <c r="N34" s="79">
        <v>10</v>
      </c>
      <c r="O34" s="79">
        <v>13</v>
      </c>
      <c r="P34" s="167">
        <v>9</v>
      </c>
      <c r="Q34" s="19"/>
      <c r="S34" s="39" t="s">
        <v>185</v>
      </c>
      <c r="T34" s="238">
        <f>T30/5460</f>
        <v>216.75164835164836</v>
      </c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</row>
    <row r="35" spans="3:32" s="33" customFormat="1" ht="15" customHeight="1" x14ac:dyDescent="0.25">
      <c r="C35" s="80" t="s">
        <v>132</v>
      </c>
      <c r="D35" s="201">
        <v>9</v>
      </c>
      <c r="E35" s="79">
        <v>1</v>
      </c>
      <c r="F35" s="79">
        <v>4</v>
      </c>
      <c r="G35" s="79">
        <v>2</v>
      </c>
      <c r="H35" s="79">
        <v>10</v>
      </c>
      <c r="I35" s="79">
        <v>11</v>
      </c>
      <c r="J35" s="79">
        <v>5</v>
      </c>
      <c r="K35" s="79">
        <v>12</v>
      </c>
      <c r="L35" s="79">
        <v>6</v>
      </c>
      <c r="M35" s="79">
        <v>3</v>
      </c>
      <c r="N35" s="79">
        <v>7</v>
      </c>
      <c r="O35" s="79">
        <v>8</v>
      </c>
      <c r="P35" s="167">
        <v>13</v>
      </c>
      <c r="Q35" s="19"/>
      <c r="S35" s="3"/>
      <c r="T35" s="238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</row>
    <row r="36" spans="3:32" s="33" customFormat="1" ht="15" customHeight="1" x14ac:dyDescent="0.25">
      <c r="C36" s="80" t="s">
        <v>133</v>
      </c>
      <c r="D36" s="201">
        <v>3</v>
      </c>
      <c r="E36" s="79">
        <v>2</v>
      </c>
      <c r="F36" s="79">
        <v>4</v>
      </c>
      <c r="G36" s="79">
        <v>1</v>
      </c>
      <c r="H36" s="79">
        <v>5</v>
      </c>
      <c r="I36" s="79">
        <v>9</v>
      </c>
      <c r="J36" s="79">
        <v>10</v>
      </c>
      <c r="K36" s="79">
        <v>6</v>
      </c>
      <c r="L36" s="79">
        <v>7</v>
      </c>
      <c r="M36" s="79">
        <v>8</v>
      </c>
      <c r="N36" s="79">
        <v>13</v>
      </c>
      <c r="O36" s="79">
        <v>12</v>
      </c>
      <c r="P36" s="167">
        <v>11</v>
      </c>
      <c r="Q36" s="19"/>
      <c r="S36" s="3"/>
      <c r="T36" s="1"/>
    </row>
    <row r="37" spans="3:32" s="33" customFormat="1" ht="15" customHeight="1" x14ac:dyDescent="0.25">
      <c r="C37" s="80" t="s">
        <v>134</v>
      </c>
      <c r="D37" s="201">
        <v>2</v>
      </c>
      <c r="E37" s="79">
        <v>1</v>
      </c>
      <c r="F37" s="79">
        <v>3</v>
      </c>
      <c r="G37" s="79">
        <v>4</v>
      </c>
      <c r="H37" s="79">
        <v>12</v>
      </c>
      <c r="I37" s="79">
        <v>6</v>
      </c>
      <c r="J37" s="79">
        <v>7</v>
      </c>
      <c r="K37" s="79">
        <v>5</v>
      </c>
      <c r="L37" s="79">
        <v>8</v>
      </c>
      <c r="M37" s="79">
        <v>9</v>
      </c>
      <c r="N37" s="79">
        <v>10</v>
      </c>
      <c r="O37" s="79">
        <v>11</v>
      </c>
      <c r="P37" s="167">
        <v>13</v>
      </c>
      <c r="Q37" s="19"/>
      <c r="S37" s="3"/>
      <c r="T37" s="1"/>
    </row>
    <row r="38" spans="3:32" s="33" customFormat="1" ht="15" customHeight="1" x14ac:dyDescent="0.25">
      <c r="C38" s="80" t="s">
        <v>135</v>
      </c>
      <c r="D38" s="201">
        <v>1</v>
      </c>
      <c r="E38" s="79">
        <v>2</v>
      </c>
      <c r="F38" s="79">
        <v>3</v>
      </c>
      <c r="G38" s="79">
        <v>5</v>
      </c>
      <c r="H38" s="79">
        <v>6</v>
      </c>
      <c r="I38" s="79">
        <v>4</v>
      </c>
      <c r="J38" s="79">
        <v>7</v>
      </c>
      <c r="K38" s="79">
        <v>8</v>
      </c>
      <c r="L38" s="79">
        <v>9</v>
      </c>
      <c r="M38" s="79">
        <v>10</v>
      </c>
      <c r="N38" s="79">
        <v>13</v>
      </c>
      <c r="O38" s="79">
        <v>11</v>
      </c>
      <c r="P38" s="167">
        <v>12</v>
      </c>
      <c r="Q38" s="19"/>
      <c r="S38" s="3"/>
      <c r="T38" s="1"/>
    </row>
    <row r="39" spans="3:32" s="33" customFormat="1" ht="15" customHeight="1" x14ac:dyDescent="0.25">
      <c r="C39" s="80" t="s">
        <v>136</v>
      </c>
      <c r="D39" s="201">
        <v>3</v>
      </c>
      <c r="E39" s="79">
        <v>2</v>
      </c>
      <c r="F39" s="79">
        <v>1</v>
      </c>
      <c r="G39" s="79">
        <v>4</v>
      </c>
      <c r="H39" s="79">
        <v>5</v>
      </c>
      <c r="I39" s="79">
        <v>9</v>
      </c>
      <c r="J39" s="79">
        <v>10</v>
      </c>
      <c r="K39" s="79">
        <v>6</v>
      </c>
      <c r="L39" s="79">
        <v>7</v>
      </c>
      <c r="M39" s="79">
        <v>8</v>
      </c>
      <c r="N39" s="79">
        <v>13</v>
      </c>
      <c r="O39" s="79">
        <v>12</v>
      </c>
      <c r="P39" s="167">
        <v>11</v>
      </c>
      <c r="Q39" s="19"/>
      <c r="S39" s="3"/>
      <c r="T39" s="1"/>
    </row>
    <row r="40" spans="3:32" s="33" customFormat="1" ht="15" customHeight="1" x14ac:dyDescent="0.25">
      <c r="C40" s="80" t="s">
        <v>137</v>
      </c>
      <c r="D40" s="201">
        <v>1</v>
      </c>
      <c r="E40" s="79">
        <v>2</v>
      </c>
      <c r="F40" s="79">
        <v>3</v>
      </c>
      <c r="G40" s="79">
        <v>9</v>
      </c>
      <c r="H40" s="79">
        <v>8</v>
      </c>
      <c r="I40" s="79">
        <v>4</v>
      </c>
      <c r="J40" s="79">
        <v>6</v>
      </c>
      <c r="K40" s="79">
        <v>7</v>
      </c>
      <c r="L40" s="79">
        <v>5</v>
      </c>
      <c r="M40" s="79">
        <v>11</v>
      </c>
      <c r="N40" s="79">
        <v>12</v>
      </c>
      <c r="O40" s="79">
        <v>10</v>
      </c>
      <c r="P40" s="167">
        <v>13</v>
      </c>
      <c r="Q40" s="19"/>
      <c r="S40" s="3"/>
      <c r="T40" s="1"/>
    </row>
    <row r="41" spans="3:32" s="33" customFormat="1" ht="15" customHeight="1" thickBot="1" x14ac:dyDescent="0.3">
      <c r="C41" s="85" t="s">
        <v>138</v>
      </c>
      <c r="D41" s="205">
        <v>3</v>
      </c>
      <c r="E41" s="173">
        <v>1</v>
      </c>
      <c r="F41" s="173">
        <v>2</v>
      </c>
      <c r="G41" s="173">
        <v>5</v>
      </c>
      <c r="H41" s="173">
        <v>6</v>
      </c>
      <c r="I41" s="173">
        <v>4</v>
      </c>
      <c r="J41" s="173">
        <v>7</v>
      </c>
      <c r="K41" s="173">
        <v>8</v>
      </c>
      <c r="L41" s="173">
        <v>9</v>
      </c>
      <c r="M41" s="173">
        <v>10</v>
      </c>
      <c r="N41" s="173">
        <v>13</v>
      </c>
      <c r="O41" s="173">
        <v>11</v>
      </c>
      <c r="P41" s="174">
        <v>12</v>
      </c>
      <c r="Q41" s="19"/>
      <c r="S41" s="3"/>
      <c r="T41" s="1"/>
    </row>
    <row r="42" spans="3:32" ht="15" customHeight="1" x14ac:dyDescent="0.25">
      <c r="C42" s="115" t="s">
        <v>20</v>
      </c>
      <c r="D42" s="189">
        <f t="shared" ref="D42:P42" si="1">SUM(D12:D41)</f>
        <v>94</v>
      </c>
      <c r="E42" s="181">
        <f t="shared" si="1"/>
        <v>59</v>
      </c>
      <c r="F42" s="181">
        <f t="shared" si="1"/>
        <v>97</v>
      </c>
      <c r="G42" s="181">
        <f t="shared" si="1"/>
        <v>240</v>
      </c>
      <c r="H42" s="181">
        <f t="shared" si="1"/>
        <v>259</v>
      </c>
      <c r="I42" s="181">
        <f t="shared" si="1"/>
        <v>147</v>
      </c>
      <c r="J42" s="181">
        <f t="shared" si="1"/>
        <v>180</v>
      </c>
      <c r="K42" s="181">
        <f t="shared" si="1"/>
        <v>227</v>
      </c>
      <c r="L42" s="181">
        <f t="shared" si="1"/>
        <v>208</v>
      </c>
      <c r="M42" s="181">
        <f t="shared" si="1"/>
        <v>246</v>
      </c>
      <c r="N42" s="181">
        <f t="shared" si="1"/>
        <v>322</v>
      </c>
      <c r="O42" s="181">
        <f t="shared" si="1"/>
        <v>308</v>
      </c>
      <c r="P42" s="220">
        <f t="shared" si="1"/>
        <v>343</v>
      </c>
      <c r="Q42" s="230">
        <f>SUM(D42:P42)</f>
        <v>2730</v>
      </c>
      <c r="S42" s="3"/>
      <c r="T42" s="1"/>
    </row>
    <row r="43" spans="3:32" x14ac:dyDescent="0.2">
      <c r="C43" s="116" t="s">
        <v>21</v>
      </c>
      <c r="D43" s="194">
        <f>(D42/30)</f>
        <v>3.1333333333333333</v>
      </c>
      <c r="E43" s="187">
        <f t="shared" ref="E43:P43" si="2">(E42/30)</f>
        <v>1.9666666666666666</v>
      </c>
      <c r="F43" s="187">
        <f t="shared" si="2"/>
        <v>3.2333333333333334</v>
      </c>
      <c r="G43" s="187">
        <f t="shared" si="2"/>
        <v>8</v>
      </c>
      <c r="H43" s="187">
        <f t="shared" si="2"/>
        <v>8.6333333333333329</v>
      </c>
      <c r="I43" s="187">
        <f t="shared" si="2"/>
        <v>4.9000000000000004</v>
      </c>
      <c r="J43" s="187">
        <f t="shared" si="2"/>
        <v>6</v>
      </c>
      <c r="K43" s="187">
        <f t="shared" si="2"/>
        <v>7.5666666666666664</v>
      </c>
      <c r="L43" s="187">
        <f t="shared" si="2"/>
        <v>6.9333333333333336</v>
      </c>
      <c r="M43" s="187">
        <f t="shared" si="2"/>
        <v>8.1999999999999993</v>
      </c>
      <c r="N43" s="187">
        <f t="shared" si="2"/>
        <v>10.733333333333333</v>
      </c>
      <c r="O43" s="187">
        <f t="shared" si="2"/>
        <v>10.266666666666667</v>
      </c>
      <c r="P43" s="212">
        <f t="shared" si="2"/>
        <v>11.433333333333334</v>
      </c>
      <c r="Q43" s="53">
        <f>SUM(D43:P43)</f>
        <v>91.000000000000014</v>
      </c>
    </row>
    <row r="44" spans="3:32" x14ac:dyDescent="0.2">
      <c r="C44" s="116" t="s">
        <v>184</v>
      </c>
      <c r="D44" s="194">
        <f>(D43/Q43)</f>
        <v>3.4432234432234428E-2</v>
      </c>
      <c r="E44" s="187">
        <f>(E43/Q43)</f>
        <v>2.1611721611721608E-2</v>
      </c>
      <c r="F44" s="187">
        <f>(F43/Q43)</f>
        <v>3.5531135531135523E-2</v>
      </c>
      <c r="G44" s="187">
        <f>(G43/Q43)</f>
        <v>8.7912087912087905E-2</v>
      </c>
      <c r="H44" s="187">
        <f>(H43/Q43)</f>
        <v>9.4871794871794854E-2</v>
      </c>
      <c r="I44" s="187">
        <f>(I43/Q43)</f>
        <v>5.3846153846153842E-2</v>
      </c>
      <c r="J44" s="187">
        <f>(J43/Q43)</f>
        <v>6.5934065934065922E-2</v>
      </c>
      <c r="K44" s="187">
        <f>(K43/Q43)</f>
        <v>8.3150183150183132E-2</v>
      </c>
      <c r="L44" s="187">
        <f>(L43/Q43)</f>
        <v>7.6190476190476183E-2</v>
      </c>
      <c r="M44" s="187">
        <f>(M43/Q43)</f>
        <v>9.0109890109890081E-2</v>
      </c>
      <c r="N44" s="187">
        <f>(N43/Q43)</f>
        <v>0.11794871794871792</v>
      </c>
      <c r="O44" s="187">
        <f>(O43/Q43)</f>
        <v>0.11282051282051281</v>
      </c>
      <c r="P44" s="212">
        <f>(P43/Q43)</f>
        <v>0.12564102564102561</v>
      </c>
      <c r="Q44" s="54"/>
      <c r="S44" s="9"/>
      <c r="T44" s="9"/>
      <c r="U44" s="9"/>
      <c r="V44" s="9"/>
    </row>
    <row r="45" spans="3:32" x14ac:dyDescent="0.2">
      <c r="C45" s="116"/>
      <c r="D45" s="194">
        <f>1-D44</f>
        <v>0.96556776556776558</v>
      </c>
      <c r="E45" s="187">
        <f t="shared" ref="E45:P45" si="3">1-E44</f>
        <v>0.97838827838827835</v>
      </c>
      <c r="F45" s="187">
        <f t="shared" si="3"/>
        <v>0.96446886446886448</v>
      </c>
      <c r="G45" s="187">
        <f t="shared" si="3"/>
        <v>0.91208791208791207</v>
      </c>
      <c r="H45" s="187">
        <f t="shared" si="3"/>
        <v>0.90512820512820513</v>
      </c>
      <c r="I45" s="187">
        <f t="shared" si="3"/>
        <v>0.94615384615384612</v>
      </c>
      <c r="J45" s="187">
        <f t="shared" si="3"/>
        <v>0.93406593406593408</v>
      </c>
      <c r="K45" s="187">
        <f t="shared" si="3"/>
        <v>0.91684981684981692</v>
      </c>
      <c r="L45" s="187">
        <f t="shared" si="3"/>
        <v>0.92380952380952386</v>
      </c>
      <c r="M45" s="187">
        <f t="shared" si="3"/>
        <v>0.90989010989010988</v>
      </c>
      <c r="N45" s="187">
        <f t="shared" si="3"/>
        <v>0.88205128205128203</v>
      </c>
      <c r="O45" s="187">
        <f t="shared" si="3"/>
        <v>0.88717948717948714</v>
      </c>
      <c r="P45" s="212">
        <f t="shared" si="3"/>
        <v>0.87435897435897436</v>
      </c>
      <c r="Q45" s="54">
        <f>SUM(D45:P45)</f>
        <v>12.000000000000002</v>
      </c>
      <c r="S45" s="9"/>
      <c r="T45" s="9"/>
      <c r="U45" s="9"/>
      <c r="V45" s="9"/>
    </row>
    <row r="46" spans="3:32" x14ac:dyDescent="0.2">
      <c r="C46" s="116" t="s">
        <v>161</v>
      </c>
      <c r="D46" s="194">
        <f>D45/12</f>
        <v>8.046398046398047E-2</v>
      </c>
      <c r="E46" s="187">
        <f t="shared" ref="E46:P46" si="4">E45/12</f>
        <v>8.1532356532356534E-2</v>
      </c>
      <c r="F46" s="187">
        <f t="shared" si="4"/>
        <v>8.0372405372405378E-2</v>
      </c>
      <c r="G46" s="187">
        <f t="shared" si="4"/>
        <v>7.6007326007326001E-2</v>
      </c>
      <c r="H46" s="187">
        <f t="shared" si="4"/>
        <v>7.5427350427350423E-2</v>
      </c>
      <c r="I46" s="187">
        <f t="shared" si="4"/>
        <v>7.8846153846153844E-2</v>
      </c>
      <c r="J46" s="187">
        <f t="shared" si="4"/>
        <v>7.783882783882784E-2</v>
      </c>
      <c r="K46" s="187">
        <f t="shared" si="4"/>
        <v>7.640415140415141E-2</v>
      </c>
      <c r="L46" s="187">
        <f t="shared" si="4"/>
        <v>7.6984126984126988E-2</v>
      </c>
      <c r="M46" s="187">
        <f t="shared" si="4"/>
        <v>7.5824175824175818E-2</v>
      </c>
      <c r="N46" s="187">
        <f t="shared" si="4"/>
        <v>7.3504273504273507E-2</v>
      </c>
      <c r="O46" s="187">
        <f t="shared" si="4"/>
        <v>7.3931623931623933E-2</v>
      </c>
      <c r="P46" s="212">
        <f t="shared" si="4"/>
        <v>7.2863247863247868E-2</v>
      </c>
      <c r="Q46" s="54">
        <f>SUM(D46:P46)</f>
        <v>0.99999999999999978</v>
      </c>
      <c r="S46" s="9"/>
      <c r="T46" s="9"/>
      <c r="U46" s="9"/>
      <c r="V46" s="9"/>
    </row>
    <row r="47" spans="3:32" ht="15.75" x14ac:dyDescent="0.25">
      <c r="C47" s="116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23"/>
      <c r="Q47" s="19"/>
    </row>
    <row r="48" spans="3:32" ht="13.5" thickBot="1" x14ac:dyDescent="0.25">
      <c r="C48" s="118" t="s">
        <v>22</v>
      </c>
      <c r="D48" s="237">
        <f>IF(D44=D49,1,IF(D44=E49,2,IF(D44=F49,3,IF(D44=G49,4,IF(D44=H49,5,IF(D44=I49,6,IF(D44=J49,7,IF(D44=K49,8,IF(D44=L49,9,IF(D44=M49,10,IF(D44=N49,11,IF(D44=O49,12,13))))))))))))</f>
        <v>2</v>
      </c>
      <c r="E48" s="235">
        <f>IF(E44=D49,1,IF(E44=E49,2,IF(E44=F49,3,IF(E44=G49,4,IF(E44=H49,5,IF(E44=I49,6,IF(E44=J49,7,IF(E44=K49,8,IF(E44=L49,9,IF(E44=M49,10,IF(E44=N49,11,IF(E44=O49,12,13))))))))))))</f>
        <v>1</v>
      </c>
      <c r="F48" s="235">
        <f>IF(F44=D49,1,IF(F44=E49,2,IF(F44=F49,3,IF(F44=G49,4,IF(F44=H49,5,IF(F44=I49,6,IF(F44=J49,7,IF(F44=K49,8,IF(F44=L49,9,IF(F44=M49,10,IF(F44=N49,11,IF(F44=O49,12,13))))))))))))</f>
        <v>3</v>
      </c>
      <c r="G48" s="235">
        <f>IF(G44=D49,1,IF(G44=E49,2,IF(G44=F49,3,IF(G44=G49,4,IF(G44=H49,5,IF(G44=I49,6,IF(G44=J49,7,IF(G44=K49,8,IF(G44=L49,9,IF(G44=M49,10,IF(G44=N49,11,IF(G44=O49,12,13))))))))))))</f>
        <v>8</v>
      </c>
      <c r="H48" s="235">
        <f>IF(H44=D49,1,IF(H44=E49,2,IF(H44=F49,3,IF(H44=G49,4,IF(H44=H49,5,IF(H44=I49,6,IF(H44=J49,7,IF(H44=K49,8,IF(H44=L49,9,IF(H44=M49,10,IF(H44=N49,11,IF(H44=O49,12,13))))))))))))</f>
        <v>10</v>
      </c>
      <c r="I48" s="235">
        <f>IF(I44=D49,1,IF(I44=E49,2,IF(I44=F49,3,IF(I44=G49,4,IF(I44=H49,5,IF(I44=I49,6,IF(I44=J49,7,IF(I44=K49,8,IF(I44=L49,9,IF(I44=M49,10,IF(I44=N49,11,IF(I44=O49,12,13))))))))))))</f>
        <v>4</v>
      </c>
      <c r="J48" s="235">
        <f>IF(J44=D49,1,IF(J44=E49,2,IF(J44=F49,3,IF(J44=G49,4,IF(J44=H49,5,IF(J44=I49,6,IF(J44=J49,7,IF(J44=K49,8,IF(J44=L49,9,IF(J44=M49,10,IF(J44=N49,11,IF(J44=O49,12,13))))))))))))</f>
        <v>5</v>
      </c>
      <c r="K48" s="235">
        <f>IF(K44=D49,1,IF(K44=E49,2,IF(K44=F49,3,IF(K44=G49,4,IF(K44=H49,5,IF(K44=I49,6,IF(K44=J49,7,IF(K44=K49,8,IF(K44=L49,9,IF(K44=M49,10,IF(K44=N49,11,IF(K44=O49,12,13))))))))))))</f>
        <v>7</v>
      </c>
      <c r="L48" s="235">
        <f>IF(L44=D49,1,IF(L44=E49,2,IF(L44=F49,3,IF(L44=G49,4,IF(L44=H49,5,IF(L44=I49,6,IF(L44=J49,7,IF(L44=K49,8,IF(L44=L49,9,IF(L44=M49,10,IF(L44=N49,11,IF(L44=O49,12,13))))))))))))</f>
        <v>6</v>
      </c>
      <c r="M48" s="235">
        <f>IF(M44=D49,1,IF(M44=E49,2,IF(M44=F49,3,IF(M44=G49,4,IF(M44=H49,5,IF(M44=I49,6,IF(M44=J49,7,IF(M44=K49,8,IF(M44=L49,9,IF(M44=M49,10,IF(M44=N49,11,IF(M44=O49,12,13))))))))))))</f>
        <v>9</v>
      </c>
      <c r="N48" s="235">
        <f>IF(N44=D49,1,IF(N44=E49,2,IF(N44=F49,3,IF(N44=G49,4,IF(N44=H49,5,IF(N44=I49,6,IF(N44=J49,7,IF(N44=K49,8,IF(N44=L49,9,IF(N44=M49,10,IF(N44=N49,11,IF(N44=O49,12,13))))))))))))</f>
        <v>12</v>
      </c>
      <c r="O48" s="235">
        <f>IF(O44=D49,1,IF(O44=E49,2,IF(O44=F49,3,IF(O44=G49,4,IF(O44=H49,5,IF(O44=I49,6,IF(O44=J49,7,IF(O44=K49,8,IF(O44=L49,9,IF(O44=M49,10,IF(O44=N49,11,IF(O44=O49,12,13))))))))))))</f>
        <v>11</v>
      </c>
      <c r="P48" s="236">
        <f>IF(P44=D49,1,IF(P44=E49,2,IF(P44=F49,3,IF(P44=G49,4,IF(P44=H49,5,IF(P44=I49,6,IF(P44=J49,7,IF(P44=K49,8,IF(P44=L49,9,IF(P44=M49,10,IF(P44=N49,11,IF(P44=O49,12,13))))))))))))</f>
        <v>13</v>
      </c>
      <c r="Q48" s="19"/>
    </row>
    <row r="49" spans="3:20" x14ac:dyDescent="0.2">
      <c r="C49" s="54"/>
      <c r="D49" s="54">
        <f>SMALL(D44:P44,1)</f>
        <v>2.1611721611721608E-2</v>
      </c>
      <c r="E49" s="54">
        <f>SMALL(D44:P44,2)</f>
        <v>3.4432234432234428E-2</v>
      </c>
      <c r="F49" s="54">
        <f>SMALL(D44:P44,3)</f>
        <v>3.5531135531135523E-2</v>
      </c>
      <c r="G49" s="54">
        <f>SMALL(D44:P44,4)</f>
        <v>5.3846153846153842E-2</v>
      </c>
      <c r="H49" s="54">
        <f>SMALL(D44:P44,5)</f>
        <v>6.5934065934065922E-2</v>
      </c>
      <c r="I49" s="54">
        <f>SMALL(D44:P44,6)</f>
        <v>7.6190476190476183E-2</v>
      </c>
      <c r="J49" s="54">
        <f>SMALL(D44:P44,7)</f>
        <v>8.3150183150183132E-2</v>
      </c>
      <c r="K49" s="54">
        <f>SMALL(D44:P44,8)</f>
        <v>8.7912087912087905E-2</v>
      </c>
      <c r="L49" s="54">
        <f>SMALL(D44:P44,9)</f>
        <v>9.0109890109890081E-2</v>
      </c>
      <c r="M49" s="54">
        <f>SMALL(D44:P44,10)</f>
        <v>9.4871794871794854E-2</v>
      </c>
      <c r="N49" s="54">
        <f>SMALL(D44:P44,11)</f>
        <v>0.11282051282051281</v>
      </c>
      <c r="O49" s="54">
        <f>SMALL(D44:P44,12)</f>
        <v>0.11794871794871792</v>
      </c>
      <c r="P49" s="54">
        <f>SMALL(D44:P44,13)</f>
        <v>0.12564102564102561</v>
      </c>
      <c r="Q49" s="19"/>
    </row>
    <row r="50" spans="3:20" x14ac:dyDescent="0.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4" spans="3:20" x14ac:dyDescent="0.2">
      <c r="P54" s="35"/>
      <c r="Q54" s="35"/>
      <c r="R54" s="35"/>
      <c r="S54" s="35"/>
      <c r="T54" s="35"/>
    </row>
    <row r="55" spans="3:20" x14ac:dyDescent="0.2">
      <c r="P55" s="35"/>
      <c r="Q55" s="35"/>
      <c r="R55" s="35"/>
      <c r="S55" s="35"/>
      <c r="T55" s="35"/>
    </row>
    <row r="56" spans="3:20" x14ac:dyDescent="0.2">
      <c r="P56" s="35"/>
      <c r="Q56" s="35"/>
      <c r="R56" s="35"/>
      <c r="S56" s="35"/>
      <c r="T56" s="35"/>
    </row>
    <row r="57" spans="3:20" x14ac:dyDescent="0.2">
      <c r="P57" s="35"/>
      <c r="Q57" s="35"/>
      <c r="R57" s="35"/>
      <c r="S57" s="35"/>
      <c r="T57" s="35"/>
    </row>
    <row r="58" spans="3:20" x14ac:dyDescent="0.2">
      <c r="P58" s="35"/>
      <c r="Q58" s="35"/>
      <c r="R58" s="35"/>
      <c r="S58" s="35"/>
      <c r="T58" s="35"/>
    </row>
    <row r="59" spans="3:20" x14ac:dyDescent="0.2">
      <c r="P59" s="35"/>
      <c r="Q59" s="35"/>
      <c r="R59" s="35"/>
      <c r="S59" s="35"/>
      <c r="T59" s="35"/>
    </row>
    <row r="60" spans="3:20" x14ac:dyDescent="0.2">
      <c r="P60" s="35"/>
      <c r="Q60" s="35"/>
      <c r="R60" s="35"/>
      <c r="S60" s="35"/>
      <c r="T60" s="35"/>
    </row>
    <row r="61" spans="3:20" x14ac:dyDescent="0.2">
      <c r="P61" s="35"/>
      <c r="Q61" s="35"/>
      <c r="R61" s="35"/>
      <c r="S61" s="35"/>
      <c r="T61" s="35"/>
    </row>
    <row r="62" spans="3:20" x14ac:dyDescent="0.2">
      <c r="P62" s="35"/>
      <c r="Q62" s="35"/>
      <c r="R62" s="35"/>
      <c r="S62" s="35"/>
      <c r="T62" s="35"/>
    </row>
    <row r="63" spans="3:20" x14ac:dyDescent="0.2">
      <c r="P63" s="35"/>
      <c r="Q63" s="35"/>
      <c r="R63" s="35"/>
      <c r="S63" s="35"/>
      <c r="T63" s="35"/>
    </row>
    <row r="64" spans="3:20" x14ac:dyDescent="0.2">
      <c r="P64" s="35"/>
      <c r="Q64" s="35"/>
      <c r="R64" s="35"/>
      <c r="S64" s="35"/>
      <c r="T64" s="35"/>
    </row>
    <row r="65" spans="7:20" x14ac:dyDescent="0.2">
      <c r="P65" s="35"/>
      <c r="Q65" s="35"/>
      <c r="R65" s="35"/>
      <c r="S65" s="35"/>
      <c r="T65" s="35"/>
    </row>
    <row r="77" spans="7:20" x14ac:dyDescent="0.2">
      <c r="G77" s="33"/>
      <c r="H77" s="33"/>
      <c r="I77" s="33"/>
      <c r="J77" s="33"/>
      <c r="K77" s="33"/>
      <c r="L77" s="33"/>
      <c r="M77" s="33"/>
      <c r="N77" s="33"/>
      <c r="O77" s="33"/>
      <c r="P77" s="33"/>
    </row>
    <row r="82" spans="2:20" x14ac:dyDescent="0.2">
      <c r="B82" s="1"/>
      <c r="C82" s="1"/>
      <c r="D82" s="1"/>
      <c r="E82" s="1"/>
      <c r="F82" s="1"/>
      <c r="G82" s="1"/>
      <c r="H82" s="1"/>
      <c r="I82" s="1"/>
    </row>
    <row r="83" spans="2:20" x14ac:dyDescent="0.2">
      <c r="B83" s="1"/>
      <c r="C83" s="1"/>
      <c r="D83" s="1"/>
      <c r="E83" s="1"/>
      <c r="F83" s="1"/>
      <c r="G83" s="1"/>
      <c r="H83" s="1"/>
      <c r="I83" s="1"/>
    </row>
    <row r="84" spans="2:20" x14ac:dyDescent="0.2">
      <c r="B84" s="1"/>
      <c r="C84" s="282"/>
      <c r="D84" s="282"/>
      <c r="E84" s="282"/>
      <c r="F84" s="282"/>
      <c r="G84" s="282"/>
      <c r="H84" s="2"/>
      <c r="I84" s="2"/>
      <c r="J84" s="2"/>
      <c r="K84" s="2"/>
      <c r="L84" s="2"/>
      <c r="M84" s="2"/>
      <c r="N84" s="2"/>
      <c r="O84" s="2"/>
      <c r="P84" s="2"/>
    </row>
    <row r="85" spans="2:20" x14ac:dyDescent="0.2">
      <c r="B85" s="1"/>
      <c r="C85" s="282"/>
      <c r="D85" s="5"/>
      <c r="E85" s="5" t="s">
        <v>50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pans="2:20" x14ac:dyDescent="0.2">
      <c r="B86" s="1"/>
      <c r="C86" s="28">
        <v>0.14699999999999999</v>
      </c>
      <c r="D86" s="31">
        <f>D46*0.147</f>
        <v>1.1828205128205128E-2</v>
      </c>
      <c r="E86" s="31">
        <f t="shared" ref="E86:P86" si="5">E46*0.147</f>
        <v>1.198525641025641E-2</v>
      </c>
      <c r="F86" s="31">
        <f t="shared" si="5"/>
        <v>1.181474358974359E-2</v>
      </c>
      <c r="G86" s="31">
        <f t="shared" si="5"/>
        <v>1.1173076923076921E-2</v>
      </c>
      <c r="H86" s="31">
        <f t="shared" si="5"/>
        <v>1.1087820512820512E-2</v>
      </c>
      <c r="I86" s="31">
        <f t="shared" si="5"/>
        <v>1.1590384615384614E-2</v>
      </c>
      <c r="J86" s="31">
        <f t="shared" si="5"/>
        <v>1.1442307692307693E-2</v>
      </c>
      <c r="K86" s="31">
        <f t="shared" si="5"/>
        <v>1.1231410256410257E-2</v>
      </c>
      <c r="L86" s="31">
        <f t="shared" si="5"/>
        <v>1.1316666666666666E-2</v>
      </c>
      <c r="M86" s="31">
        <f t="shared" si="5"/>
        <v>1.1146153846153844E-2</v>
      </c>
      <c r="N86" s="31">
        <f t="shared" si="5"/>
        <v>1.0805128205128205E-2</v>
      </c>
      <c r="O86" s="31">
        <f t="shared" si="5"/>
        <v>1.0867948717948717E-2</v>
      </c>
      <c r="P86" s="31">
        <f t="shared" si="5"/>
        <v>1.0710897435897437E-2</v>
      </c>
      <c r="Q86" s="1"/>
      <c r="R86" s="1"/>
      <c r="S86" s="1"/>
      <c r="T86" s="1"/>
    </row>
    <row r="87" spans="2:20" x14ac:dyDescent="0.2">
      <c r="B87" s="1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</row>
    <row r="88" spans="2:20" x14ac:dyDescent="0.2">
      <c r="B88" s="1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</row>
    <row r="89" spans="2:20" x14ac:dyDescent="0.2">
      <c r="B89" s="1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</row>
    <row r="90" spans="2:20" ht="15.75" x14ac:dyDescent="0.2">
      <c r="B90" s="1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4"/>
      <c r="T90" s="1"/>
    </row>
    <row r="91" spans="2:20" ht="15.75" x14ac:dyDescent="0.2">
      <c r="B91" s="1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4"/>
      <c r="T91" s="1"/>
    </row>
    <row r="92" spans="2:20" ht="15.75" x14ac:dyDescent="0.2">
      <c r="B92" s="1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4"/>
      <c r="T92" s="1"/>
    </row>
    <row r="93" spans="2:20" ht="15.75" x14ac:dyDescent="0.2">
      <c r="B93" s="1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4"/>
      <c r="T93" s="1"/>
    </row>
    <row r="94" spans="2:20" ht="15.75" x14ac:dyDescent="0.2">
      <c r="B94" s="1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4"/>
      <c r="T94" s="1"/>
    </row>
    <row r="95" spans="2:20" ht="15.75" x14ac:dyDescent="0.2">
      <c r="B95" s="1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4"/>
      <c r="T95" s="1"/>
    </row>
    <row r="96" spans="2:20" x14ac:dyDescent="0.2">
      <c r="B96" s="1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</row>
    <row r="97" spans="2:20" x14ac:dyDescent="0.2">
      <c r="B97" s="1"/>
      <c r="C97" s="11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>
        <f>SUM(D97:G97)</f>
        <v>0</v>
      </c>
      <c r="R97" s="1"/>
      <c r="S97" s="1"/>
      <c r="T97" s="1"/>
    </row>
    <row r="98" spans="2:20" x14ac:dyDescent="0.2">
      <c r="B98" s="1"/>
      <c r="C98" s="11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8"/>
      <c r="R98" s="1"/>
      <c r="S98" s="1"/>
      <c r="T98" s="1"/>
    </row>
    <row r="99" spans="2:20" ht="15.75" x14ac:dyDescent="0.25">
      <c r="B99" s="1"/>
      <c r="C99" s="11"/>
      <c r="D99" s="2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R99" s="1"/>
      <c r="S99" s="1"/>
      <c r="T99" s="1"/>
    </row>
    <row r="100" spans="2:20" x14ac:dyDescent="0.2">
      <c r="B100" s="1"/>
      <c r="C100" s="11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2:20" x14ac:dyDescent="0.2">
      <c r="B101" s="1"/>
      <c r="C101" s="1"/>
      <c r="D101" s="1"/>
      <c r="E101" s="1"/>
      <c r="F101" s="1"/>
      <c r="G101" s="1"/>
      <c r="H101" s="1"/>
      <c r="I101" s="1"/>
    </row>
  </sheetData>
  <sheetProtection selectLockedCells="1" selectUnlockedCells="1"/>
  <mergeCells count="4">
    <mergeCell ref="C10:C11"/>
    <mergeCell ref="D10:P10"/>
    <mergeCell ref="C84:C85"/>
    <mergeCell ref="D84:G84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B102"/>
  <sheetViews>
    <sheetView workbookViewId="0">
      <selection activeCell="C5" sqref="C5"/>
    </sheetView>
  </sheetViews>
  <sheetFormatPr defaultRowHeight="12.75" x14ac:dyDescent="0.2"/>
  <cols>
    <col min="3" max="3" width="25.7109375" customWidth="1"/>
    <col min="4" max="14" width="8.28515625" customWidth="1"/>
    <col min="16" max="16" width="4.42578125" customWidth="1"/>
    <col min="17" max="17" width="42.28515625" customWidth="1"/>
    <col min="18" max="18" width="12.5703125" bestFit="1" customWidth="1"/>
    <col min="19" max="21" width="9.5703125" bestFit="1" customWidth="1"/>
    <col min="22" max="22" width="9.28515625" bestFit="1" customWidth="1"/>
    <col min="23" max="23" width="9.5703125" bestFit="1" customWidth="1"/>
    <col min="24" max="27" width="9.28515625" bestFit="1" customWidth="1"/>
    <col min="28" max="28" width="10.5703125" bestFit="1" customWidth="1"/>
  </cols>
  <sheetData>
    <row r="5" spans="3:17" x14ac:dyDescent="0.2">
      <c r="C5" s="147" t="s">
        <v>183</v>
      </c>
    </row>
    <row r="8" spans="3:17" x14ac:dyDescent="0.2">
      <c r="C8" s="48" t="s">
        <v>33</v>
      </c>
      <c r="D8" s="48"/>
      <c r="E8" s="48"/>
      <c r="F8" s="48"/>
      <c r="G8" s="19"/>
      <c r="H8" s="19"/>
      <c r="I8" s="19"/>
      <c r="J8" s="19"/>
      <c r="K8" s="19"/>
      <c r="L8" s="19"/>
      <c r="M8" s="19"/>
      <c r="N8" s="19"/>
      <c r="O8" s="19"/>
    </row>
    <row r="9" spans="3:17" ht="13.5" thickBot="1" x14ac:dyDescent="0.25"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3:17" ht="15" customHeight="1" thickBot="1" x14ac:dyDescent="0.25">
      <c r="C10" s="277" t="s">
        <v>1</v>
      </c>
      <c r="D10" s="279" t="s">
        <v>180</v>
      </c>
      <c r="E10" s="280"/>
      <c r="F10" s="280"/>
      <c r="G10" s="280"/>
      <c r="H10" s="280"/>
      <c r="I10" s="280"/>
      <c r="J10" s="280"/>
      <c r="K10" s="280"/>
      <c r="L10" s="280"/>
      <c r="M10" s="280"/>
      <c r="N10" s="281"/>
      <c r="O10" s="19"/>
      <c r="P10" s="109" t="s">
        <v>2</v>
      </c>
      <c r="Q10" s="45" t="s">
        <v>78</v>
      </c>
    </row>
    <row r="11" spans="3:17" ht="15" customHeight="1" thickBot="1" x14ac:dyDescent="0.25">
      <c r="C11" s="286"/>
      <c r="D11" s="196" t="s">
        <v>2</v>
      </c>
      <c r="E11" s="145" t="s">
        <v>3</v>
      </c>
      <c r="F11" s="226" t="s">
        <v>4</v>
      </c>
      <c r="G11" s="227" t="s">
        <v>5</v>
      </c>
      <c r="H11" s="145" t="s">
        <v>6</v>
      </c>
      <c r="I11" s="145" t="s">
        <v>7</v>
      </c>
      <c r="J11" s="145" t="s">
        <v>8</v>
      </c>
      <c r="K11" s="145" t="s">
        <v>9</v>
      </c>
      <c r="L11" s="145" t="s">
        <v>24</v>
      </c>
      <c r="M11" s="145" t="s">
        <v>25</v>
      </c>
      <c r="N11" s="228" t="s">
        <v>26</v>
      </c>
      <c r="O11" s="19"/>
      <c r="P11" s="109" t="s">
        <v>3</v>
      </c>
      <c r="Q11" s="45" t="s">
        <v>79</v>
      </c>
    </row>
    <row r="12" spans="3:17" ht="15" customHeight="1" x14ac:dyDescent="0.2">
      <c r="C12" s="120" t="s">
        <v>10</v>
      </c>
      <c r="D12" s="59">
        <v>1</v>
      </c>
      <c r="E12" s="60">
        <v>7</v>
      </c>
      <c r="F12" s="60">
        <v>10</v>
      </c>
      <c r="G12" s="60">
        <v>2</v>
      </c>
      <c r="H12" s="60">
        <v>8</v>
      </c>
      <c r="I12" s="60">
        <v>11</v>
      </c>
      <c r="J12" s="60">
        <v>3</v>
      </c>
      <c r="K12" s="60">
        <v>4</v>
      </c>
      <c r="L12" s="60">
        <v>5</v>
      </c>
      <c r="M12" s="60">
        <v>6</v>
      </c>
      <c r="N12" s="62">
        <v>9</v>
      </c>
      <c r="O12" s="19"/>
      <c r="P12" s="109" t="s">
        <v>4</v>
      </c>
      <c r="Q12" s="45" t="s">
        <v>80</v>
      </c>
    </row>
    <row r="13" spans="3:17" ht="15" customHeight="1" x14ac:dyDescent="0.2">
      <c r="C13" s="58" t="s">
        <v>11</v>
      </c>
      <c r="D13" s="197">
        <v>3</v>
      </c>
      <c r="E13" s="182">
        <v>4</v>
      </c>
      <c r="F13" s="182">
        <v>5</v>
      </c>
      <c r="G13" s="182">
        <v>7</v>
      </c>
      <c r="H13" s="182">
        <v>9</v>
      </c>
      <c r="I13" s="182">
        <v>11</v>
      </c>
      <c r="J13" s="182">
        <v>1</v>
      </c>
      <c r="K13" s="182">
        <v>8</v>
      </c>
      <c r="L13" s="182">
        <v>6</v>
      </c>
      <c r="M13" s="182">
        <v>2</v>
      </c>
      <c r="N13" s="198">
        <v>10</v>
      </c>
      <c r="O13" s="19"/>
      <c r="P13" s="109" t="s">
        <v>5</v>
      </c>
      <c r="Q13" s="45" t="s">
        <v>81</v>
      </c>
    </row>
    <row r="14" spans="3:17" ht="15" customHeight="1" x14ac:dyDescent="0.2">
      <c r="C14" s="58" t="s">
        <v>12</v>
      </c>
      <c r="D14" s="199">
        <v>1</v>
      </c>
      <c r="E14" s="183">
        <v>2</v>
      </c>
      <c r="F14" s="183">
        <v>11</v>
      </c>
      <c r="G14" s="183">
        <v>3</v>
      </c>
      <c r="H14" s="183">
        <v>8</v>
      </c>
      <c r="I14" s="183">
        <v>9</v>
      </c>
      <c r="J14" s="183">
        <v>4</v>
      </c>
      <c r="K14" s="183">
        <v>5</v>
      </c>
      <c r="L14" s="183">
        <v>7</v>
      </c>
      <c r="M14" s="183">
        <v>6</v>
      </c>
      <c r="N14" s="200">
        <v>10</v>
      </c>
      <c r="O14" s="19"/>
      <c r="P14" s="109" t="s">
        <v>6</v>
      </c>
      <c r="Q14" s="45" t="s">
        <v>82</v>
      </c>
    </row>
    <row r="15" spans="3:17" ht="15" customHeight="1" x14ac:dyDescent="0.2">
      <c r="C15" s="58" t="s">
        <v>13</v>
      </c>
      <c r="D15" s="197">
        <v>2</v>
      </c>
      <c r="E15" s="182">
        <v>3</v>
      </c>
      <c r="F15" s="182">
        <v>7</v>
      </c>
      <c r="G15" s="182">
        <v>6</v>
      </c>
      <c r="H15" s="182">
        <v>9</v>
      </c>
      <c r="I15" s="182">
        <v>11</v>
      </c>
      <c r="J15" s="182">
        <v>8</v>
      </c>
      <c r="K15" s="182">
        <v>1</v>
      </c>
      <c r="L15" s="182">
        <v>4</v>
      </c>
      <c r="M15" s="182">
        <v>5</v>
      </c>
      <c r="N15" s="198">
        <v>10</v>
      </c>
      <c r="O15" s="19"/>
      <c r="P15" s="109" t="s">
        <v>7</v>
      </c>
      <c r="Q15" s="45" t="s">
        <v>83</v>
      </c>
    </row>
    <row r="16" spans="3:17" ht="15" customHeight="1" x14ac:dyDescent="0.2">
      <c r="C16" s="58" t="s">
        <v>14</v>
      </c>
      <c r="D16" s="197">
        <v>1</v>
      </c>
      <c r="E16" s="182">
        <v>3</v>
      </c>
      <c r="F16" s="182">
        <v>9</v>
      </c>
      <c r="G16" s="182">
        <v>4</v>
      </c>
      <c r="H16" s="182">
        <v>5</v>
      </c>
      <c r="I16" s="182">
        <v>8</v>
      </c>
      <c r="J16" s="182">
        <v>11</v>
      </c>
      <c r="K16" s="182">
        <v>6</v>
      </c>
      <c r="L16" s="182">
        <v>2</v>
      </c>
      <c r="M16" s="182">
        <v>7</v>
      </c>
      <c r="N16" s="198">
        <v>10</v>
      </c>
      <c r="O16" s="19"/>
      <c r="P16" s="109" t="s">
        <v>8</v>
      </c>
      <c r="Q16" s="45" t="s">
        <v>84</v>
      </c>
    </row>
    <row r="17" spans="3:28" ht="15" customHeight="1" x14ac:dyDescent="0.2">
      <c r="C17" s="58" t="s">
        <v>15</v>
      </c>
      <c r="D17" s="197">
        <v>2</v>
      </c>
      <c r="E17" s="182">
        <v>1</v>
      </c>
      <c r="F17" s="182">
        <v>8</v>
      </c>
      <c r="G17" s="182">
        <v>4</v>
      </c>
      <c r="H17" s="182">
        <v>10</v>
      </c>
      <c r="I17" s="182">
        <v>11</v>
      </c>
      <c r="J17" s="182">
        <v>7</v>
      </c>
      <c r="K17" s="182">
        <v>6</v>
      </c>
      <c r="L17" s="182">
        <v>5</v>
      </c>
      <c r="M17" s="182">
        <v>3</v>
      </c>
      <c r="N17" s="198">
        <v>9</v>
      </c>
      <c r="O17" s="19"/>
      <c r="P17" s="109" t="s">
        <v>9</v>
      </c>
      <c r="Q17" s="45" t="s">
        <v>85</v>
      </c>
    </row>
    <row r="18" spans="3:28" ht="15" customHeight="1" x14ac:dyDescent="0.2">
      <c r="C18" s="58" t="s">
        <v>16</v>
      </c>
      <c r="D18" s="199">
        <v>1</v>
      </c>
      <c r="E18" s="183">
        <v>6</v>
      </c>
      <c r="F18" s="183">
        <v>7</v>
      </c>
      <c r="G18" s="183">
        <v>3</v>
      </c>
      <c r="H18" s="183">
        <v>8</v>
      </c>
      <c r="I18" s="183">
        <v>5</v>
      </c>
      <c r="J18" s="183">
        <v>2</v>
      </c>
      <c r="K18" s="183">
        <v>10</v>
      </c>
      <c r="L18" s="183">
        <v>9</v>
      </c>
      <c r="M18" s="183">
        <v>4</v>
      </c>
      <c r="N18" s="200">
        <v>11</v>
      </c>
      <c r="O18" s="19"/>
      <c r="P18" s="109" t="s">
        <v>24</v>
      </c>
      <c r="Q18" s="45" t="s">
        <v>86</v>
      </c>
    </row>
    <row r="19" spans="3:28" ht="15" customHeight="1" x14ac:dyDescent="0.2">
      <c r="C19" s="58" t="s">
        <v>17</v>
      </c>
      <c r="D19" s="75">
        <v>1</v>
      </c>
      <c r="E19" s="76">
        <v>4</v>
      </c>
      <c r="F19" s="76">
        <v>8</v>
      </c>
      <c r="G19" s="76">
        <v>6</v>
      </c>
      <c r="H19" s="76">
        <v>5</v>
      </c>
      <c r="I19" s="76">
        <v>9</v>
      </c>
      <c r="J19" s="76">
        <v>7</v>
      </c>
      <c r="K19" s="76">
        <v>2</v>
      </c>
      <c r="L19" s="76">
        <v>11</v>
      </c>
      <c r="M19" s="76">
        <v>3</v>
      </c>
      <c r="N19" s="77">
        <v>10</v>
      </c>
      <c r="O19" s="19"/>
      <c r="P19" s="109" t="s">
        <v>25</v>
      </c>
      <c r="Q19" s="45" t="s">
        <v>87</v>
      </c>
    </row>
    <row r="20" spans="3:28" ht="15" customHeight="1" x14ac:dyDescent="0.2">
      <c r="C20" s="58" t="s">
        <v>18</v>
      </c>
      <c r="D20" s="201">
        <v>1</v>
      </c>
      <c r="E20" s="79">
        <v>7</v>
      </c>
      <c r="F20" s="79">
        <v>9</v>
      </c>
      <c r="G20" s="79">
        <v>2</v>
      </c>
      <c r="H20" s="79">
        <v>6</v>
      </c>
      <c r="I20" s="79">
        <v>11</v>
      </c>
      <c r="J20" s="79">
        <v>3</v>
      </c>
      <c r="K20" s="79">
        <v>8</v>
      </c>
      <c r="L20" s="79">
        <v>5</v>
      </c>
      <c r="M20" s="79">
        <v>4</v>
      </c>
      <c r="N20" s="167">
        <v>10</v>
      </c>
      <c r="O20" s="19"/>
      <c r="P20" s="109" t="s">
        <v>26</v>
      </c>
      <c r="Q20" s="45" t="s">
        <v>122</v>
      </c>
    </row>
    <row r="21" spans="3:28" ht="15" customHeight="1" x14ac:dyDescent="0.25">
      <c r="C21" s="58" t="s">
        <v>19</v>
      </c>
      <c r="D21" s="201">
        <v>3</v>
      </c>
      <c r="E21" s="79">
        <v>1</v>
      </c>
      <c r="F21" s="79">
        <v>6</v>
      </c>
      <c r="G21" s="79">
        <v>4</v>
      </c>
      <c r="H21" s="79">
        <v>5</v>
      </c>
      <c r="I21" s="79">
        <v>10</v>
      </c>
      <c r="J21" s="79">
        <v>2</v>
      </c>
      <c r="K21" s="79">
        <v>8</v>
      </c>
      <c r="L21" s="79">
        <v>9</v>
      </c>
      <c r="M21" s="79">
        <v>7</v>
      </c>
      <c r="N21" s="167">
        <v>11</v>
      </c>
      <c r="O21" s="19"/>
      <c r="Q21" s="3"/>
    </row>
    <row r="22" spans="3:28" ht="15" customHeight="1" x14ac:dyDescent="0.2">
      <c r="C22" s="58" t="s">
        <v>41</v>
      </c>
      <c r="D22" s="201">
        <v>1</v>
      </c>
      <c r="E22" s="79">
        <v>7</v>
      </c>
      <c r="F22" s="79">
        <v>10</v>
      </c>
      <c r="G22" s="79">
        <v>5</v>
      </c>
      <c r="H22" s="79">
        <v>8</v>
      </c>
      <c r="I22" s="79">
        <v>11</v>
      </c>
      <c r="J22" s="79">
        <v>2</v>
      </c>
      <c r="K22" s="79">
        <v>6</v>
      </c>
      <c r="L22" s="79">
        <v>4</v>
      </c>
      <c r="M22" s="79">
        <v>3</v>
      </c>
      <c r="N22" s="167">
        <v>9</v>
      </c>
      <c r="O22" s="19"/>
      <c r="Q22" s="43" t="s">
        <v>179</v>
      </c>
    </row>
    <row r="23" spans="3:28" ht="15" customHeight="1" x14ac:dyDescent="0.2">
      <c r="C23" s="58" t="s">
        <v>42</v>
      </c>
      <c r="D23" s="201">
        <v>1</v>
      </c>
      <c r="E23" s="79">
        <v>2</v>
      </c>
      <c r="F23" s="79">
        <v>10</v>
      </c>
      <c r="G23" s="79">
        <v>3</v>
      </c>
      <c r="H23" s="79">
        <v>6</v>
      </c>
      <c r="I23" s="79">
        <v>9</v>
      </c>
      <c r="J23" s="79">
        <v>4</v>
      </c>
      <c r="K23" s="79">
        <v>5</v>
      </c>
      <c r="L23" s="79">
        <v>7</v>
      </c>
      <c r="M23" s="79">
        <v>8</v>
      </c>
      <c r="N23" s="167">
        <v>11</v>
      </c>
      <c r="O23" s="19"/>
      <c r="Q23" s="33"/>
    </row>
    <row r="24" spans="3:28" ht="15" customHeight="1" x14ac:dyDescent="0.2">
      <c r="C24" s="58" t="s">
        <v>43</v>
      </c>
      <c r="D24" s="75">
        <v>1</v>
      </c>
      <c r="E24" s="76">
        <v>6</v>
      </c>
      <c r="F24" s="76">
        <v>8</v>
      </c>
      <c r="G24" s="76">
        <v>4</v>
      </c>
      <c r="H24" s="76">
        <v>7</v>
      </c>
      <c r="I24" s="79">
        <v>11</v>
      </c>
      <c r="J24" s="76">
        <v>9</v>
      </c>
      <c r="K24" s="76">
        <v>5</v>
      </c>
      <c r="L24" s="76">
        <v>3</v>
      </c>
      <c r="M24" s="76">
        <v>2</v>
      </c>
      <c r="N24" s="77">
        <v>10</v>
      </c>
      <c r="O24" s="19"/>
      <c r="Q24" s="19" t="s">
        <v>152</v>
      </c>
      <c r="R24" s="54">
        <f>O42/11</f>
        <v>179.81818181818181</v>
      </c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3:28" ht="15" customHeight="1" x14ac:dyDescent="0.2">
      <c r="C25" s="58" t="s">
        <v>44</v>
      </c>
      <c r="D25" s="201">
        <v>1</v>
      </c>
      <c r="E25" s="79">
        <v>5</v>
      </c>
      <c r="F25" s="79">
        <v>7</v>
      </c>
      <c r="G25" s="79">
        <v>2</v>
      </c>
      <c r="H25" s="79">
        <v>3</v>
      </c>
      <c r="I25" s="79">
        <v>11</v>
      </c>
      <c r="J25" s="79">
        <v>4</v>
      </c>
      <c r="K25" s="79">
        <v>8</v>
      </c>
      <c r="L25" s="79">
        <v>6</v>
      </c>
      <c r="M25" s="79">
        <v>10</v>
      </c>
      <c r="N25" s="167">
        <v>9</v>
      </c>
      <c r="O25" s="19"/>
      <c r="Q25" s="33"/>
      <c r="R25" s="54">
        <f>D42-R24</f>
        <v>-126.81818181818181</v>
      </c>
      <c r="S25" s="54">
        <f>E42-R24</f>
        <v>-82.818181818181813</v>
      </c>
      <c r="T25" s="54">
        <f>F42-R24</f>
        <v>45.181818181818187</v>
      </c>
      <c r="U25" s="54">
        <f>G42-R24</f>
        <v>-64.818181818181813</v>
      </c>
      <c r="V25" s="54">
        <f>H42-R24</f>
        <v>21.181818181818187</v>
      </c>
      <c r="W25" s="54">
        <f>I42-R24</f>
        <v>62.181818181818187</v>
      </c>
      <c r="X25" s="54">
        <f>J42-R24</f>
        <v>0.18181818181818699</v>
      </c>
      <c r="Y25" s="54">
        <f>K42-R24</f>
        <v>-6.818181818181813</v>
      </c>
      <c r="Z25" s="54">
        <f>L42-R24</f>
        <v>25.181818181818187</v>
      </c>
      <c r="AA25" s="54">
        <f>M42-R24</f>
        <v>-5.818181818181813</v>
      </c>
      <c r="AB25" s="54">
        <f>N42-R24</f>
        <v>133.18181818181819</v>
      </c>
    </row>
    <row r="26" spans="3:28" ht="15" customHeight="1" x14ac:dyDescent="0.2">
      <c r="C26" s="78" t="s">
        <v>45</v>
      </c>
      <c r="D26" s="202">
        <v>1</v>
      </c>
      <c r="E26" s="83">
        <v>4</v>
      </c>
      <c r="F26" s="83">
        <v>8</v>
      </c>
      <c r="G26" s="83">
        <v>7</v>
      </c>
      <c r="H26" s="83">
        <v>5</v>
      </c>
      <c r="I26" s="83">
        <v>10</v>
      </c>
      <c r="J26" s="83">
        <v>6</v>
      </c>
      <c r="K26" s="83">
        <v>2</v>
      </c>
      <c r="L26" s="83">
        <v>9</v>
      </c>
      <c r="M26" s="83">
        <v>3</v>
      </c>
      <c r="N26" s="221">
        <v>11</v>
      </c>
      <c r="O26" s="19"/>
      <c r="Q26" s="33"/>
      <c r="R26" s="54">
        <f t="shared" ref="R26:AB26" si="0">R25*R25</f>
        <v>16082.85123966942</v>
      </c>
      <c r="S26" s="54">
        <f t="shared" si="0"/>
        <v>6858.8512396694205</v>
      </c>
      <c r="T26" s="54">
        <f t="shared" si="0"/>
        <v>2041.3966942148766</v>
      </c>
      <c r="U26" s="54">
        <f t="shared" si="0"/>
        <v>4201.3966942148754</v>
      </c>
      <c r="V26" s="54">
        <f t="shared" si="0"/>
        <v>448.66942148760353</v>
      </c>
      <c r="W26" s="54">
        <f t="shared" si="0"/>
        <v>3866.5785123966948</v>
      </c>
      <c r="X26" s="54">
        <f t="shared" si="0"/>
        <v>3.3057851239671303E-2</v>
      </c>
      <c r="Y26" s="54">
        <f t="shared" si="0"/>
        <v>46.487603305785051</v>
      </c>
      <c r="Z26" s="54">
        <f t="shared" si="0"/>
        <v>634.12396694214897</v>
      </c>
      <c r="AA26" s="54">
        <f t="shared" si="0"/>
        <v>33.851239669421425</v>
      </c>
      <c r="AB26" s="54">
        <f t="shared" si="0"/>
        <v>17737.396694214876</v>
      </c>
    </row>
    <row r="27" spans="3:28" s="33" customFormat="1" ht="15" customHeight="1" x14ac:dyDescent="0.2">
      <c r="C27" s="80" t="s">
        <v>124</v>
      </c>
      <c r="D27" s="201">
        <v>1</v>
      </c>
      <c r="E27" s="79">
        <v>6</v>
      </c>
      <c r="F27" s="79">
        <v>9</v>
      </c>
      <c r="G27" s="79">
        <v>4</v>
      </c>
      <c r="H27" s="79">
        <v>7</v>
      </c>
      <c r="I27" s="79">
        <v>5</v>
      </c>
      <c r="J27" s="79">
        <v>10</v>
      </c>
      <c r="K27" s="79">
        <v>3</v>
      </c>
      <c r="L27" s="79">
        <v>8</v>
      </c>
      <c r="M27" s="79">
        <v>2</v>
      </c>
      <c r="N27" s="167">
        <v>11</v>
      </c>
      <c r="O27" s="19"/>
      <c r="Q27" s="44" t="s">
        <v>0</v>
      </c>
      <c r="R27" s="54">
        <f>SUM(R26:AB26)</f>
        <v>51951.63636363636</v>
      </c>
      <c r="S27" s="54"/>
      <c r="T27" s="54"/>
      <c r="U27" s="54"/>
      <c r="V27" s="54"/>
      <c r="W27" s="54"/>
      <c r="X27" s="54"/>
      <c r="Y27" s="54"/>
      <c r="Z27" s="54"/>
      <c r="AA27" s="54"/>
      <c r="AB27" s="54"/>
    </row>
    <row r="28" spans="3:28" s="33" customFormat="1" ht="15" customHeight="1" x14ac:dyDescent="0.2">
      <c r="C28" s="80" t="s">
        <v>125</v>
      </c>
      <c r="D28" s="201">
        <v>2</v>
      </c>
      <c r="E28" s="79">
        <v>1</v>
      </c>
      <c r="F28" s="79">
        <v>7</v>
      </c>
      <c r="G28" s="79">
        <v>6</v>
      </c>
      <c r="H28" s="79">
        <v>9</v>
      </c>
      <c r="I28" s="79">
        <v>10</v>
      </c>
      <c r="J28" s="79">
        <v>8</v>
      </c>
      <c r="K28" s="79">
        <v>3</v>
      </c>
      <c r="L28" s="79">
        <v>4</v>
      </c>
      <c r="M28" s="79">
        <v>5</v>
      </c>
      <c r="N28" s="167">
        <v>11</v>
      </c>
      <c r="O28" s="19"/>
      <c r="Q28" s="43" t="s">
        <v>178</v>
      </c>
      <c r="R28" s="54">
        <f>12*R27</f>
        <v>623419.63636363635</v>
      </c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3:28" s="33" customFormat="1" ht="15" customHeight="1" x14ac:dyDescent="0.2">
      <c r="C29" s="80" t="s">
        <v>126</v>
      </c>
      <c r="D29" s="201">
        <v>5</v>
      </c>
      <c r="E29" s="79">
        <v>1</v>
      </c>
      <c r="F29" s="79">
        <v>6</v>
      </c>
      <c r="G29" s="79">
        <v>3</v>
      </c>
      <c r="H29" s="79">
        <v>7</v>
      </c>
      <c r="I29" s="79">
        <v>8</v>
      </c>
      <c r="J29" s="79">
        <v>4</v>
      </c>
      <c r="K29" s="79">
        <v>2</v>
      </c>
      <c r="L29" s="79">
        <v>9</v>
      </c>
      <c r="M29" s="79">
        <v>10</v>
      </c>
      <c r="N29" s="167">
        <v>11</v>
      </c>
      <c r="O29" s="19"/>
      <c r="R29" s="248">
        <v>900</v>
      </c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3:28" s="33" customFormat="1" ht="15" customHeight="1" x14ac:dyDescent="0.2">
      <c r="C30" s="80" t="s">
        <v>127</v>
      </c>
      <c r="D30" s="201">
        <v>2</v>
      </c>
      <c r="E30" s="79">
        <v>1</v>
      </c>
      <c r="F30" s="79">
        <v>8</v>
      </c>
      <c r="G30" s="79">
        <v>6</v>
      </c>
      <c r="H30" s="79">
        <v>10</v>
      </c>
      <c r="I30" s="79">
        <v>3</v>
      </c>
      <c r="J30" s="79">
        <v>5</v>
      </c>
      <c r="K30" s="79">
        <v>4</v>
      </c>
      <c r="L30" s="79">
        <v>9</v>
      </c>
      <c r="M30" s="79">
        <v>7</v>
      </c>
      <c r="N30" s="167">
        <v>11</v>
      </c>
      <c r="O30" s="19"/>
      <c r="R30" s="248">
        <f>R29*1320</f>
        <v>1188000</v>
      </c>
      <c r="S30" s="54"/>
      <c r="T30" s="54"/>
      <c r="U30" s="54"/>
      <c r="V30" s="54"/>
      <c r="W30" s="54"/>
      <c r="X30" s="54"/>
      <c r="Y30" s="54"/>
      <c r="Z30" s="54"/>
      <c r="AA30" s="54"/>
      <c r="AB30" s="54"/>
    </row>
    <row r="31" spans="3:28" s="33" customFormat="1" ht="15" customHeight="1" x14ac:dyDescent="0.2">
      <c r="C31" s="80" t="s">
        <v>128</v>
      </c>
      <c r="D31" s="201">
        <v>1</v>
      </c>
      <c r="E31" s="79">
        <v>2</v>
      </c>
      <c r="F31" s="79">
        <v>9</v>
      </c>
      <c r="G31" s="79">
        <v>4</v>
      </c>
      <c r="H31" s="79">
        <v>7</v>
      </c>
      <c r="I31" s="79">
        <v>3</v>
      </c>
      <c r="J31" s="79">
        <v>5</v>
      </c>
      <c r="K31" s="79">
        <v>8</v>
      </c>
      <c r="L31" s="79">
        <v>10</v>
      </c>
      <c r="M31" s="79">
        <v>6</v>
      </c>
      <c r="N31" s="167">
        <v>11</v>
      </c>
      <c r="O31" s="19"/>
      <c r="Q31" s="44" t="s">
        <v>40</v>
      </c>
      <c r="R31" s="54">
        <f>R28/R30</f>
        <v>0.52476400367309461</v>
      </c>
      <c r="S31" s="54"/>
      <c r="T31" s="54"/>
      <c r="U31" s="54"/>
      <c r="V31" s="54"/>
      <c r="W31" s="54"/>
      <c r="X31" s="54"/>
      <c r="Y31" s="54"/>
      <c r="Z31" s="54"/>
      <c r="AA31" s="54"/>
      <c r="AB31" s="54"/>
    </row>
    <row r="32" spans="3:28" s="33" customFormat="1" ht="15" customHeight="1" x14ac:dyDescent="0.2">
      <c r="C32" s="80" t="s">
        <v>129</v>
      </c>
      <c r="D32" s="201">
        <v>5</v>
      </c>
      <c r="E32" s="79">
        <v>2</v>
      </c>
      <c r="F32" s="79">
        <v>8</v>
      </c>
      <c r="G32" s="79">
        <v>6</v>
      </c>
      <c r="H32" s="79">
        <v>7</v>
      </c>
      <c r="I32" s="79">
        <v>3</v>
      </c>
      <c r="J32" s="79">
        <v>9</v>
      </c>
      <c r="K32" s="79">
        <v>10</v>
      </c>
      <c r="L32" s="79">
        <v>1</v>
      </c>
      <c r="M32" s="79">
        <v>4</v>
      </c>
      <c r="N32" s="167">
        <v>11</v>
      </c>
      <c r="O32" s="19"/>
      <c r="Q32" s="39" t="s">
        <v>185</v>
      </c>
      <c r="R32" s="54">
        <f>R28/3960</f>
        <v>157.42920110192838</v>
      </c>
      <c r="S32" s="54"/>
      <c r="T32" s="54"/>
      <c r="U32" s="54"/>
      <c r="V32" s="54"/>
      <c r="W32" s="54"/>
      <c r="X32" s="54"/>
      <c r="Y32" s="54"/>
      <c r="Z32" s="54"/>
      <c r="AA32" s="54"/>
      <c r="AB32" s="54"/>
    </row>
    <row r="33" spans="3:28" s="33" customFormat="1" ht="15" customHeight="1" x14ac:dyDescent="0.25">
      <c r="C33" s="80" t="s">
        <v>130</v>
      </c>
      <c r="D33" s="201">
        <v>1</v>
      </c>
      <c r="E33" s="79">
        <v>2</v>
      </c>
      <c r="F33" s="79">
        <v>9</v>
      </c>
      <c r="G33" s="79">
        <v>3</v>
      </c>
      <c r="H33" s="79">
        <v>4</v>
      </c>
      <c r="I33" s="79">
        <v>7</v>
      </c>
      <c r="J33" s="79">
        <v>5</v>
      </c>
      <c r="K33" s="79">
        <v>6</v>
      </c>
      <c r="L33" s="79">
        <v>8</v>
      </c>
      <c r="M33" s="79">
        <v>10</v>
      </c>
      <c r="N33" s="167">
        <v>11</v>
      </c>
      <c r="O33" s="19"/>
      <c r="Q33" s="3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3:28" s="33" customFormat="1" ht="15" customHeight="1" x14ac:dyDescent="0.25">
      <c r="C34" s="80" t="s">
        <v>131</v>
      </c>
      <c r="D34" s="201">
        <v>1</v>
      </c>
      <c r="E34" s="79">
        <v>2</v>
      </c>
      <c r="F34" s="79">
        <v>6</v>
      </c>
      <c r="G34" s="79">
        <v>4</v>
      </c>
      <c r="H34" s="79">
        <v>10</v>
      </c>
      <c r="I34" s="79">
        <v>7</v>
      </c>
      <c r="J34" s="79">
        <v>8</v>
      </c>
      <c r="K34" s="79">
        <v>9</v>
      </c>
      <c r="L34" s="79">
        <v>3</v>
      </c>
      <c r="M34" s="79">
        <v>5</v>
      </c>
      <c r="N34" s="167">
        <v>11</v>
      </c>
      <c r="O34" s="19"/>
      <c r="Q34" s="3"/>
    </row>
    <row r="35" spans="3:28" s="33" customFormat="1" ht="15" customHeight="1" x14ac:dyDescent="0.25">
      <c r="C35" s="80" t="s">
        <v>132</v>
      </c>
      <c r="D35" s="201">
        <v>1</v>
      </c>
      <c r="E35" s="79">
        <v>2</v>
      </c>
      <c r="F35" s="79">
        <v>7</v>
      </c>
      <c r="G35" s="79">
        <v>3</v>
      </c>
      <c r="H35" s="79">
        <v>6</v>
      </c>
      <c r="I35" s="79">
        <v>8</v>
      </c>
      <c r="J35" s="79">
        <v>11</v>
      </c>
      <c r="K35" s="79">
        <v>4</v>
      </c>
      <c r="L35" s="79">
        <v>5</v>
      </c>
      <c r="M35" s="79">
        <v>9</v>
      </c>
      <c r="N35" s="167">
        <v>10</v>
      </c>
      <c r="O35" s="19"/>
      <c r="Q35" s="3"/>
    </row>
    <row r="36" spans="3:28" s="33" customFormat="1" ht="15" customHeight="1" x14ac:dyDescent="0.25">
      <c r="C36" s="80" t="s">
        <v>133</v>
      </c>
      <c r="D36" s="201">
        <v>5</v>
      </c>
      <c r="E36" s="79">
        <v>4</v>
      </c>
      <c r="F36" s="79">
        <v>8</v>
      </c>
      <c r="G36" s="79">
        <v>1</v>
      </c>
      <c r="H36" s="79">
        <v>7</v>
      </c>
      <c r="I36" s="79">
        <v>4</v>
      </c>
      <c r="J36" s="79">
        <v>3</v>
      </c>
      <c r="K36" s="79">
        <v>2</v>
      </c>
      <c r="L36" s="79">
        <v>9</v>
      </c>
      <c r="M36" s="79">
        <v>10</v>
      </c>
      <c r="N36" s="167">
        <v>11</v>
      </c>
      <c r="O36" s="19"/>
      <c r="Q36" s="3"/>
    </row>
    <row r="37" spans="3:28" s="33" customFormat="1" ht="15" customHeight="1" x14ac:dyDescent="0.25">
      <c r="C37" s="80" t="s">
        <v>134</v>
      </c>
      <c r="D37" s="201">
        <v>4</v>
      </c>
      <c r="E37" s="79">
        <v>1</v>
      </c>
      <c r="F37" s="79">
        <v>3</v>
      </c>
      <c r="G37" s="79">
        <v>2</v>
      </c>
      <c r="H37" s="79">
        <v>5</v>
      </c>
      <c r="I37" s="79">
        <v>8</v>
      </c>
      <c r="J37" s="79">
        <v>11</v>
      </c>
      <c r="K37" s="79">
        <v>6</v>
      </c>
      <c r="L37" s="79">
        <v>9</v>
      </c>
      <c r="M37" s="79">
        <v>7</v>
      </c>
      <c r="N37" s="167">
        <v>10</v>
      </c>
      <c r="O37" s="148"/>
      <c r="P37" s="1"/>
      <c r="Q37" s="3"/>
    </row>
    <row r="38" spans="3:28" s="33" customFormat="1" ht="15" customHeight="1" x14ac:dyDescent="0.25">
      <c r="C38" s="80" t="s">
        <v>135</v>
      </c>
      <c r="D38" s="201">
        <v>1</v>
      </c>
      <c r="E38" s="79">
        <v>2</v>
      </c>
      <c r="F38" s="79">
        <v>5</v>
      </c>
      <c r="G38" s="79">
        <v>3</v>
      </c>
      <c r="H38" s="79">
        <v>4</v>
      </c>
      <c r="I38" s="79">
        <v>6</v>
      </c>
      <c r="J38" s="79">
        <v>7</v>
      </c>
      <c r="K38" s="79">
        <v>8</v>
      </c>
      <c r="L38" s="79">
        <v>9</v>
      </c>
      <c r="M38" s="79">
        <v>10</v>
      </c>
      <c r="N38" s="167">
        <v>11</v>
      </c>
      <c r="O38" s="148"/>
      <c r="P38" s="1"/>
      <c r="Q38" s="3"/>
    </row>
    <row r="39" spans="3:28" s="33" customFormat="1" ht="15" customHeight="1" x14ac:dyDescent="0.25">
      <c r="C39" s="80" t="s">
        <v>136</v>
      </c>
      <c r="D39" s="201">
        <v>1</v>
      </c>
      <c r="E39" s="79">
        <v>3</v>
      </c>
      <c r="F39" s="79">
        <v>6</v>
      </c>
      <c r="G39" s="79">
        <v>2</v>
      </c>
      <c r="H39" s="79">
        <v>5</v>
      </c>
      <c r="I39" s="79">
        <v>7</v>
      </c>
      <c r="J39" s="79">
        <v>9</v>
      </c>
      <c r="K39" s="79">
        <v>8</v>
      </c>
      <c r="L39" s="79">
        <v>10</v>
      </c>
      <c r="M39" s="79">
        <v>4</v>
      </c>
      <c r="N39" s="167">
        <v>11</v>
      </c>
      <c r="O39" s="148"/>
      <c r="P39" s="1"/>
      <c r="Q39" s="3"/>
    </row>
    <row r="40" spans="3:28" s="33" customFormat="1" ht="15" customHeight="1" x14ac:dyDescent="0.25">
      <c r="C40" s="80" t="s">
        <v>137</v>
      </c>
      <c r="D40" s="201">
        <v>1</v>
      </c>
      <c r="E40" s="79">
        <v>4</v>
      </c>
      <c r="F40" s="79">
        <v>6</v>
      </c>
      <c r="G40" s="79">
        <v>3</v>
      </c>
      <c r="H40" s="79">
        <v>7</v>
      </c>
      <c r="I40" s="79">
        <v>9</v>
      </c>
      <c r="J40" s="79">
        <v>5</v>
      </c>
      <c r="K40" s="79">
        <v>8</v>
      </c>
      <c r="L40" s="79">
        <v>10</v>
      </c>
      <c r="M40" s="79">
        <v>2</v>
      </c>
      <c r="N40" s="167">
        <v>11</v>
      </c>
      <c r="O40" s="148"/>
      <c r="P40" s="1"/>
      <c r="Q40" s="3"/>
    </row>
    <row r="41" spans="3:28" s="33" customFormat="1" ht="15" customHeight="1" thickBot="1" x14ac:dyDescent="0.3">
      <c r="C41" s="85" t="s">
        <v>138</v>
      </c>
      <c r="D41" s="205">
        <v>1</v>
      </c>
      <c r="E41" s="173">
        <v>2</v>
      </c>
      <c r="F41" s="173">
        <v>5</v>
      </c>
      <c r="G41" s="173">
        <v>3</v>
      </c>
      <c r="H41" s="173">
        <v>4</v>
      </c>
      <c r="I41" s="173">
        <v>6</v>
      </c>
      <c r="J41" s="173">
        <v>7</v>
      </c>
      <c r="K41" s="173">
        <v>8</v>
      </c>
      <c r="L41" s="173">
        <v>9</v>
      </c>
      <c r="M41" s="173">
        <v>10</v>
      </c>
      <c r="N41" s="174">
        <v>11</v>
      </c>
      <c r="O41" s="19"/>
      <c r="P41" s="1"/>
      <c r="Q41" s="3"/>
    </row>
    <row r="42" spans="3:28" ht="15" customHeight="1" x14ac:dyDescent="0.25">
      <c r="C42" s="115" t="s">
        <v>20</v>
      </c>
      <c r="D42" s="189">
        <f t="shared" ref="D42:N42" si="1">SUM(D12:D41)</f>
        <v>53</v>
      </c>
      <c r="E42" s="181">
        <f t="shared" si="1"/>
        <v>97</v>
      </c>
      <c r="F42" s="181">
        <f t="shared" si="1"/>
        <v>225</v>
      </c>
      <c r="G42" s="181">
        <f t="shared" si="1"/>
        <v>115</v>
      </c>
      <c r="H42" s="181">
        <f t="shared" si="1"/>
        <v>201</v>
      </c>
      <c r="I42" s="181">
        <f t="shared" si="1"/>
        <v>242</v>
      </c>
      <c r="J42" s="181">
        <f t="shared" si="1"/>
        <v>180</v>
      </c>
      <c r="K42" s="181">
        <f t="shared" si="1"/>
        <v>173</v>
      </c>
      <c r="L42" s="181">
        <f t="shared" si="1"/>
        <v>205</v>
      </c>
      <c r="M42" s="181">
        <f t="shared" si="1"/>
        <v>174</v>
      </c>
      <c r="N42" s="220">
        <f t="shared" si="1"/>
        <v>313</v>
      </c>
      <c r="O42" s="52">
        <f>SUM(D42:N42)</f>
        <v>1978</v>
      </c>
      <c r="P42" s="1"/>
      <c r="Q42" s="3"/>
    </row>
    <row r="43" spans="3:28" x14ac:dyDescent="0.2">
      <c r="C43" s="116" t="s">
        <v>21</v>
      </c>
      <c r="D43" s="194">
        <f>(D42/30)</f>
        <v>1.7666666666666666</v>
      </c>
      <c r="E43" s="194">
        <f t="shared" ref="E43:N43" si="2">(E42/30)</f>
        <v>3.2333333333333334</v>
      </c>
      <c r="F43" s="194">
        <f t="shared" si="2"/>
        <v>7.5</v>
      </c>
      <c r="G43" s="194">
        <f t="shared" si="2"/>
        <v>3.8333333333333335</v>
      </c>
      <c r="H43" s="194">
        <f t="shared" si="2"/>
        <v>6.7</v>
      </c>
      <c r="I43" s="194">
        <f t="shared" si="2"/>
        <v>8.0666666666666664</v>
      </c>
      <c r="J43" s="194">
        <f t="shared" si="2"/>
        <v>6</v>
      </c>
      <c r="K43" s="194">
        <f t="shared" si="2"/>
        <v>5.7666666666666666</v>
      </c>
      <c r="L43" s="194">
        <f t="shared" si="2"/>
        <v>6.833333333333333</v>
      </c>
      <c r="M43" s="194">
        <f t="shared" si="2"/>
        <v>5.8</v>
      </c>
      <c r="N43" s="222">
        <f t="shared" si="2"/>
        <v>10.433333333333334</v>
      </c>
      <c r="O43" s="53">
        <f>SUM(D43:N43)</f>
        <v>65.933333333333323</v>
      </c>
      <c r="Q43" s="1"/>
    </row>
    <row r="44" spans="3:28" x14ac:dyDescent="0.2">
      <c r="C44" s="116" t="s">
        <v>184</v>
      </c>
      <c r="D44" s="194">
        <f>(D43/O43)</f>
        <v>2.6794742163801823E-2</v>
      </c>
      <c r="E44" s="187">
        <f>(E43/O43)</f>
        <v>4.9039433771486361E-2</v>
      </c>
      <c r="F44" s="187">
        <f>(F43/O43)</f>
        <v>0.11375126390293228</v>
      </c>
      <c r="G44" s="229">
        <f>(G43/O43)</f>
        <v>5.8139534883720943E-2</v>
      </c>
      <c r="H44" s="187">
        <f>(H43/O43)</f>
        <v>0.10161779575328617</v>
      </c>
      <c r="I44" s="187">
        <f>(I43/O43)</f>
        <v>0.12234580384226493</v>
      </c>
      <c r="J44" s="187">
        <f>(J43/O43)</f>
        <v>9.1001011122345821E-2</v>
      </c>
      <c r="K44" s="187">
        <f>(K43/O43)</f>
        <v>8.7462082912032363E-2</v>
      </c>
      <c r="L44" s="187">
        <f>(L43/O43)</f>
        <v>0.10364004044489385</v>
      </c>
      <c r="M44" s="229">
        <f>(M43/O43)</f>
        <v>8.7967644084934293E-2</v>
      </c>
      <c r="N44" s="212">
        <f>(N43/O43)</f>
        <v>0.15824064711830135</v>
      </c>
      <c r="O44" s="19"/>
      <c r="Q44" s="23"/>
      <c r="R44" s="9"/>
      <c r="S44" s="9"/>
      <c r="T44" s="9"/>
    </row>
    <row r="45" spans="3:28" x14ac:dyDescent="0.2">
      <c r="C45" s="116"/>
      <c r="D45" s="194">
        <f>1-D44</f>
        <v>0.97320525783619816</v>
      </c>
      <c r="E45" s="194">
        <f t="shared" ref="E45:N45" si="3">1-E44</f>
        <v>0.95096056622851366</v>
      </c>
      <c r="F45" s="194">
        <f t="shared" si="3"/>
        <v>0.88624873609706767</v>
      </c>
      <c r="G45" s="194">
        <f t="shared" si="3"/>
        <v>0.94186046511627908</v>
      </c>
      <c r="H45" s="194">
        <f t="shared" si="3"/>
        <v>0.89838220424671378</v>
      </c>
      <c r="I45" s="194">
        <f t="shared" si="3"/>
        <v>0.8776541961577351</v>
      </c>
      <c r="J45" s="194">
        <f t="shared" si="3"/>
        <v>0.90899898887765418</v>
      </c>
      <c r="K45" s="194">
        <f t="shared" si="3"/>
        <v>0.91253791708796761</v>
      </c>
      <c r="L45" s="194">
        <f t="shared" si="3"/>
        <v>0.89635995955510617</v>
      </c>
      <c r="M45" s="194">
        <f t="shared" si="3"/>
        <v>0.91203235591506571</v>
      </c>
      <c r="N45" s="222">
        <f t="shared" si="3"/>
        <v>0.84175935288169867</v>
      </c>
      <c r="O45" s="106">
        <f>SUM(D45:N45)</f>
        <v>10</v>
      </c>
      <c r="Q45" s="23"/>
      <c r="R45" s="9"/>
      <c r="S45" s="9"/>
      <c r="T45" s="9"/>
    </row>
    <row r="46" spans="3:28" x14ac:dyDescent="0.2">
      <c r="C46" s="116" t="s">
        <v>161</v>
      </c>
      <c r="D46" s="194">
        <f>D45/10</f>
        <v>9.7320525783619813E-2</v>
      </c>
      <c r="E46" s="194">
        <f t="shared" ref="E46:N46" si="4">E45/10</f>
        <v>9.5096056622851366E-2</v>
      </c>
      <c r="F46" s="194">
        <f t="shared" si="4"/>
        <v>8.8624873609706764E-2</v>
      </c>
      <c r="G46" s="194">
        <f t="shared" si="4"/>
        <v>9.4186046511627902E-2</v>
      </c>
      <c r="H46" s="194">
        <f t="shared" si="4"/>
        <v>8.9838220424671378E-2</v>
      </c>
      <c r="I46" s="194">
        <f t="shared" si="4"/>
        <v>8.7765419615773513E-2</v>
      </c>
      <c r="J46" s="194">
        <f t="shared" si="4"/>
        <v>9.0899898887765423E-2</v>
      </c>
      <c r="K46" s="194">
        <f t="shared" si="4"/>
        <v>9.1253791708796758E-2</v>
      </c>
      <c r="L46" s="194">
        <f t="shared" si="4"/>
        <v>8.9635995955510611E-2</v>
      </c>
      <c r="M46" s="194">
        <f t="shared" si="4"/>
        <v>9.1203235591506573E-2</v>
      </c>
      <c r="N46" s="222">
        <f t="shared" si="4"/>
        <v>8.417593528816987E-2</v>
      </c>
      <c r="O46" s="54">
        <f>SUM(D46:N46)</f>
        <v>1</v>
      </c>
      <c r="Q46" s="23"/>
      <c r="R46" s="9"/>
      <c r="S46" s="9"/>
      <c r="T46" s="9"/>
    </row>
    <row r="47" spans="3:28" ht="15.75" x14ac:dyDescent="0.25">
      <c r="C47" s="116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23"/>
      <c r="O47" s="19"/>
    </row>
    <row r="48" spans="3:28" ht="13.5" thickBot="1" x14ac:dyDescent="0.25">
      <c r="C48" s="118" t="s">
        <v>22</v>
      </c>
      <c r="D48" s="224">
        <f>IF(D44=D49,1,IF(D44=E49,2,IF(D44=F49,3,IF(D44=G49,4,IF(D44=H49,5,IF(D44=I49,6,IF(D44=J49,7,IF(D44=K49,8,IF(D44=L49,9,IF(D44=M49,10,11))))))))))</f>
        <v>1</v>
      </c>
      <c r="E48" s="224">
        <f>IF(E44=D49,1,IF(E44=E49,2,IF(E44=F49,3,IF(E44=G49,4,IF(E44=H49,5,IF(E44=I49,6,IF(E44=J49,7,IF(E44=K49,8,IF(E44=L49,9,IF(E44=M49,10,11))))))))))</f>
        <v>2</v>
      </c>
      <c r="F48" s="224">
        <f>IF(F44=D49,1,IF(F44=E49,2,IF(F44=F49,3,IF(F44=G49,4,IF(F44=H49,5,IF(F44=I49,6,IF(F44=J49,7,IF(F44=K49,8,IF(F44=L49,9,IF(F44=M49,10,11))))))))))</f>
        <v>9</v>
      </c>
      <c r="G48" s="224">
        <f>IF(G44=D49,1,IF(G44=E49,2,IF(G44=F49,3,IF(G44=G49,4,IF(G44=H49,5,IF(G44=I49,6,IF(G44=J49,7,IF(G44=K49,8,IF(G44=L49,9,IF(G44=M49,10,11))))))))))</f>
        <v>3</v>
      </c>
      <c r="H48" s="224">
        <f>IF(H44=D49,1,IF(H44=E49,2,IF(H44=F49,3,IF(H44=G49,4,IF(H44=H49,5,IF(H44=I49,6,IF(H44=J49,7,IF(H44=K49,8,IF(H44=L49,9,IF(H44=M49,10,11))))))))))</f>
        <v>7</v>
      </c>
      <c r="I48" s="224">
        <f>IF(I44=D49,1,IF(I44=E49,2,IF(I44=F49,3,IF(I44=G49,4,IF(I44=H49,5,IF(I44=I49,6,IF(I44=J49,7,IF(I44=K49,8,IF(I44=L49,9,IF(I44=M49,10,11))))))))))</f>
        <v>10</v>
      </c>
      <c r="J48" s="224">
        <f>IF(J44=D49,1,IF(J44=E49,2,IF(J44=F49,3,IF(J44=G49,4,IF(J44=H49,5,IF(J44=I49,6,IF(J44=J49,7,IF(J44=K49,8,IF(J44=L49,9,IF(J44=M49,10,11))))))))))</f>
        <v>6</v>
      </c>
      <c r="K48" s="224">
        <f>IF(K44=D49,1,IF(K44=E49,2,IF(K44=F49,3,IF(K44=G49,4,IF(K44=H49,5,IF(K44=I49,6,IF(K44=J49,7,IF(K44=K49,8,IF(K44=L49,9,IF(K44=M49,10,11))))))))))</f>
        <v>4</v>
      </c>
      <c r="L48" s="224">
        <f>IF(L44=D49,1,IF(L44=E49,2,IF(L44=F49,3,IF(L44=G49,4,IF(L44=H49,5,IF(L44=I49,6,IF(L44=J49,7,IF(L44=K49,8,IF(L44=L49,9,IF(L44=M49,10,11))))))))))</f>
        <v>8</v>
      </c>
      <c r="M48" s="224">
        <f>IF(M44=D49,1,IF(M44=E49,2,IF(M44=F49,3,IF(M44=G49,4,IF(M44=H49,5,IF(M44=I49,6,IF(M44=J49,7,IF(M44=K49,8,IF(M44=L49,9,IF(M44=M49,10,11))))))))))</f>
        <v>5</v>
      </c>
      <c r="N48" s="225">
        <f>IF(N44=D49,1,IF(N44=E49,2,IF(N44=F49,3,IF(N44=G49,4,IF(N44=H49,5,IF(N44=I49,6,IF(N44=J49,7,IF(N44=K49,8,IF(N44=L49,9,IF(N44=M49,10,11))))))))))</f>
        <v>11</v>
      </c>
      <c r="O48" s="19"/>
    </row>
    <row r="49" spans="3:20" x14ac:dyDescent="0.2">
      <c r="C49" s="19"/>
      <c r="D49" s="95">
        <f>SMALL(D44:N44,1)</f>
        <v>2.6794742163801823E-2</v>
      </c>
      <c r="E49" s="95">
        <f>SMALL(D44:N44,2)</f>
        <v>4.9039433771486361E-2</v>
      </c>
      <c r="F49" s="95">
        <f>SMALL(D44:N44,3)</f>
        <v>5.8139534883720943E-2</v>
      </c>
      <c r="G49" s="95">
        <f>SMALL(D44:N44,4)</f>
        <v>8.7462082912032363E-2</v>
      </c>
      <c r="H49" s="95">
        <f>SMALL(D44:N44,5)</f>
        <v>8.7967644084934293E-2</v>
      </c>
      <c r="I49" s="95">
        <f>SMALL(D44:N44,6)</f>
        <v>9.1001011122345821E-2</v>
      </c>
      <c r="J49" s="95">
        <f>SMALL(D44:N44,7)</f>
        <v>0.10161779575328617</v>
      </c>
      <c r="K49" s="95">
        <f>SMALL(D44:N44,8)</f>
        <v>0.10364004044489385</v>
      </c>
      <c r="L49" s="95">
        <f>SMALL(D44:N44,9)</f>
        <v>0.11375126390293228</v>
      </c>
      <c r="M49" s="95">
        <f>SMALL(D44:N44,10)</f>
        <v>0.12234580384226493</v>
      </c>
      <c r="N49" s="95">
        <f>SMALL(D44:N44,11)</f>
        <v>0.15824064711830135</v>
      </c>
      <c r="O49" s="19"/>
    </row>
    <row r="50" spans="3:20" x14ac:dyDescent="0.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3:20" x14ac:dyDescent="0.2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3:20" x14ac:dyDescent="0.2">
      <c r="Q52" s="35"/>
      <c r="R52" s="35"/>
      <c r="S52" s="35"/>
      <c r="T52" s="35"/>
    </row>
    <row r="53" spans="3:20" x14ac:dyDescent="0.2">
      <c r="Q53" s="35"/>
      <c r="R53" s="35"/>
      <c r="S53" s="35"/>
      <c r="T53" s="35"/>
    </row>
    <row r="54" spans="3:20" x14ac:dyDescent="0.2">
      <c r="Q54" s="35"/>
      <c r="R54" s="35"/>
      <c r="S54" s="35"/>
      <c r="T54" s="35"/>
    </row>
    <row r="55" spans="3:20" x14ac:dyDescent="0.2">
      <c r="Q55" s="35"/>
      <c r="R55" s="35"/>
      <c r="S55" s="35"/>
      <c r="T55" s="35"/>
    </row>
    <row r="56" spans="3:20" x14ac:dyDescent="0.2">
      <c r="Q56" s="35"/>
      <c r="R56" s="35"/>
      <c r="S56" s="35"/>
      <c r="T56" s="35"/>
    </row>
    <row r="57" spans="3:20" x14ac:dyDescent="0.2">
      <c r="Q57" s="35"/>
      <c r="R57" s="35"/>
      <c r="S57" s="35"/>
      <c r="T57" s="35"/>
    </row>
    <row r="58" spans="3:20" x14ac:dyDescent="0.2">
      <c r="Q58" s="35"/>
      <c r="R58" s="35"/>
      <c r="S58" s="35"/>
      <c r="T58" s="35"/>
    </row>
    <row r="59" spans="3:20" x14ac:dyDescent="0.2">
      <c r="Q59" s="35"/>
      <c r="R59" s="35"/>
      <c r="S59" s="35"/>
      <c r="T59" s="35"/>
    </row>
    <row r="60" spans="3:20" x14ac:dyDescent="0.2">
      <c r="Q60" s="35"/>
      <c r="R60" s="35"/>
      <c r="S60" s="35"/>
      <c r="T60" s="35"/>
    </row>
    <row r="61" spans="3:20" x14ac:dyDescent="0.2">
      <c r="Q61" s="35"/>
      <c r="R61" s="35"/>
      <c r="S61" s="35"/>
      <c r="T61" s="35"/>
    </row>
    <row r="72" spans="3:14" s="33" customFormat="1" x14ac:dyDescent="0.2"/>
    <row r="73" spans="3:14" x14ac:dyDescent="0.2">
      <c r="D73" s="27"/>
    </row>
    <row r="74" spans="3:14" x14ac:dyDescent="0.2">
      <c r="C74" s="27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</row>
    <row r="82" spans="2:18" x14ac:dyDescent="0.2">
      <c r="B82" s="1"/>
      <c r="C82" s="1"/>
      <c r="D82" s="1"/>
      <c r="E82" s="1"/>
      <c r="F82" s="1"/>
      <c r="G82" s="1"/>
      <c r="H82" s="1"/>
    </row>
    <row r="83" spans="2:18" x14ac:dyDescent="0.2">
      <c r="B83" s="1"/>
      <c r="C83" s="1"/>
      <c r="D83" s="1"/>
      <c r="E83" s="1"/>
      <c r="F83" s="1"/>
      <c r="G83" s="1"/>
      <c r="H83" s="1"/>
    </row>
    <row r="84" spans="2:18" x14ac:dyDescent="0.2">
      <c r="B84" s="1"/>
      <c r="C84" s="1"/>
      <c r="D84" s="1"/>
      <c r="E84" s="1"/>
      <c r="F84" s="1"/>
      <c r="G84" s="1"/>
      <c r="H84" s="1"/>
    </row>
    <row r="85" spans="2:18" x14ac:dyDescent="0.2">
      <c r="B85" s="1"/>
      <c r="C85" s="282"/>
      <c r="D85" s="282"/>
      <c r="E85" s="282"/>
      <c r="F85" s="282"/>
      <c r="G85" s="282"/>
      <c r="H85" s="2"/>
      <c r="I85" s="2"/>
      <c r="J85" s="2"/>
      <c r="K85" s="2"/>
      <c r="L85" s="2"/>
      <c r="M85" s="2"/>
      <c r="N85" s="2"/>
    </row>
    <row r="86" spans="2:18" x14ac:dyDescent="0.2">
      <c r="B86" s="1"/>
      <c r="C86" s="282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2:18" x14ac:dyDescent="0.2">
      <c r="B87" s="1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P87" s="1"/>
      <c r="Q87" s="1"/>
      <c r="R87" s="1"/>
    </row>
    <row r="88" spans="2:18" x14ac:dyDescent="0.2">
      <c r="B88" s="1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P88" s="1"/>
      <c r="Q88" s="1"/>
      <c r="R88" s="1"/>
    </row>
    <row r="89" spans="2:18" x14ac:dyDescent="0.2">
      <c r="B89" s="1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P89" s="1"/>
      <c r="Q89" s="1"/>
      <c r="R89" s="1"/>
    </row>
    <row r="90" spans="2:18" x14ac:dyDescent="0.2">
      <c r="B90" s="1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P90" s="1"/>
      <c r="Q90" s="1"/>
      <c r="R90" s="1"/>
    </row>
    <row r="91" spans="2:18" ht="15.75" x14ac:dyDescent="0.2">
      <c r="B91" s="1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P91" s="1"/>
      <c r="Q91" s="4"/>
      <c r="R91" s="1"/>
    </row>
    <row r="92" spans="2:18" ht="15.75" x14ac:dyDescent="0.2">
      <c r="B92" s="1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P92" s="1"/>
      <c r="Q92" s="4"/>
      <c r="R92" s="1"/>
    </row>
    <row r="93" spans="2:18" ht="15.75" x14ac:dyDescent="0.2">
      <c r="B93" s="1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P93" s="1"/>
      <c r="Q93" s="4"/>
      <c r="R93" s="1"/>
    </row>
    <row r="94" spans="2:18" ht="15.75" x14ac:dyDescent="0.2">
      <c r="B94" s="1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P94" s="1"/>
      <c r="Q94" s="4"/>
      <c r="R94" s="1"/>
    </row>
    <row r="95" spans="2:18" ht="15.75" x14ac:dyDescent="0.2">
      <c r="B95" s="1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P95" s="1"/>
      <c r="Q95" s="4"/>
      <c r="R95" s="1"/>
    </row>
    <row r="96" spans="2:18" ht="15.75" x14ac:dyDescent="0.2">
      <c r="B96" s="1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P96" s="1"/>
      <c r="Q96" s="4"/>
      <c r="R96" s="1"/>
    </row>
    <row r="97" spans="2:18" x14ac:dyDescent="0.2">
      <c r="B97" s="1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P97" s="1"/>
      <c r="Q97" s="1"/>
      <c r="R97" s="1"/>
    </row>
    <row r="98" spans="2:18" x14ac:dyDescent="0.2">
      <c r="B98" s="1"/>
      <c r="C98" s="11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>
        <f>SUM(D98:G98)</f>
        <v>0</v>
      </c>
      <c r="P98" s="1"/>
      <c r="Q98" s="1"/>
      <c r="R98" s="1"/>
    </row>
    <row r="99" spans="2:18" x14ac:dyDescent="0.2">
      <c r="B99" s="1"/>
      <c r="C99" s="11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8"/>
      <c r="P99" s="1"/>
      <c r="Q99" s="1"/>
      <c r="R99" s="1"/>
    </row>
    <row r="100" spans="2:18" ht="15.75" x14ac:dyDescent="0.25">
      <c r="B100" s="1"/>
      <c r="C100" s="11"/>
      <c r="D100" s="2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P100" s="1"/>
      <c r="Q100" s="1"/>
      <c r="R100" s="1"/>
    </row>
    <row r="101" spans="2:18" x14ac:dyDescent="0.2">
      <c r="B101" s="1"/>
      <c r="C101" s="11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8" x14ac:dyDescent="0.2">
      <c r="B102" s="1"/>
      <c r="C102" s="1"/>
      <c r="D102" s="1"/>
      <c r="E102" s="1"/>
      <c r="F102" s="1"/>
      <c r="G102" s="1"/>
      <c r="H102" s="1"/>
    </row>
  </sheetData>
  <sheetProtection selectLockedCells="1" selectUnlockedCells="1"/>
  <mergeCells count="4">
    <mergeCell ref="C10:C11"/>
    <mergeCell ref="D10:N10"/>
    <mergeCell ref="C85:C86"/>
    <mergeCell ref="D85:G85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L100"/>
  <sheetViews>
    <sheetView workbookViewId="0">
      <selection activeCell="C5" sqref="C5"/>
    </sheetView>
  </sheetViews>
  <sheetFormatPr defaultRowHeight="12.75" x14ac:dyDescent="0.2"/>
  <cols>
    <col min="3" max="3" width="21.140625" customWidth="1"/>
    <col min="4" max="19" width="8.28515625" customWidth="1"/>
    <col min="22" max="22" width="39.85546875" customWidth="1"/>
    <col min="23" max="23" width="10.85546875" bestFit="1" customWidth="1"/>
    <col min="24" max="38" width="9.28515625" bestFit="1" customWidth="1"/>
  </cols>
  <sheetData>
    <row r="5" spans="3:22" x14ac:dyDescent="0.2">
      <c r="C5" s="147" t="s">
        <v>183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3:22" x14ac:dyDescent="0.2"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</row>
    <row r="7" spans="3:22" x14ac:dyDescent="0.2"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3:22" x14ac:dyDescent="0.2">
      <c r="C8" s="48" t="s">
        <v>34</v>
      </c>
      <c r="D8" s="4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3:22" ht="13.5" thickBot="1" x14ac:dyDescent="0.25"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3:22" ht="15" customHeight="1" thickBot="1" x14ac:dyDescent="0.25">
      <c r="C10" s="287" t="s">
        <v>1</v>
      </c>
      <c r="D10" s="289" t="s">
        <v>180</v>
      </c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U10" s="260" t="s">
        <v>2</v>
      </c>
      <c r="V10" s="261" t="s">
        <v>47</v>
      </c>
    </row>
    <row r="11" spans="3:22" ht="15" customHeight="1" thickBot="1" x14ac:dyDescent="0.25">
      <c r="C11" s="288"/>
      <c r="D11" s="196" t="s">
        <v>2</v>
      </c>
      <c r="E11" s="145" t="s">
        <v>3</v>
      </c>
      <c r="F11" s="145" t="s">
        <v>4</v>
      </c>
      <c r="G11" s="145" t="s">
        <v>5</v>
      </c>
      <c r="H11" s="145" t="s">
        <v>6</v>
      </c>
      <c r="I11" s="145" t="s">
        <v>7</v>
      </c>
      <c r="J11" s="145" t="s">
        <v>8</v>
      </c>
      <c r="K11" s="145" t="s">
        <v>9</v>
      </c>
      <c r="L11" s="145" t="s">
        <v>24</v>
      </c>
      <c r="M11" s="145" t="s">
        <v>25</v>
      </c>
      <c r="N11" s="145" t="s">
        <v>26</v>
      </c>
      <c r="O11" s="145" t="s">
        <v>31</v>
      </c>
      <c r="P11" s="145" t="s">
        <v>32</v>
      </c>
      <c r="Q11" s="145" t="s">
        <v>35</v>
      </c>
      <c r="R11" s="145" t="s">
        <v>36</v>
      </c>
      <c r="S11" s="146" t="s">
        <v>37</v>
      </c>
      <c r="U11" s="260" t="s">
        <v>3</v>
      </c>
      <c r="V11" s="261" t="s">
        <v>48</v>
      </c>
    </row>
    <row r="12" spans="3:22" ht="15" customHeight="1" x14ac:dyDescent="0.2">
      <c r="C12" s="131" t="s">
        <v>10</v>
      </c>
      <c r="D12" s="59">
        <v>1</v>
      </c>
      <c r="E12" s="60">
        <v>9</v>
      </c>
      <c r="F12" s="60">
        <v>3</v>
      </c>
      <c r="G12" s="60">
        <v>11</v>
      </c>
      <c r="H12" s="60">
        <v>12</v>
      </c>
      <c r="I12" s="60">
        <v>10</v>
      </c>
      <c r="J12" s="60">
        <v>8</v>
      </c>
      <c r="K12" s="60">
        <v>2</v>
      </c>
      <c r="L12" s="60">
        <v>13</v>
      </c>
      <c r="M12" s="60">
        <v>14</v>
      </c>
      <c r="N12" s="60">
        <v>6</v>
      </c>
      <c r="O12" s="60">
        <v>15</v>
      </c>
      <c r="P12" s="60">
        <v>16</v>
      </c>
      <c r="Q12" s="60">
        <v>5</v>
      </c>
      <c r="R12" s="60">
        <v>4</v>
      </c>
      <c r="S12" s="62">
        <v>7</v>
      </c>
      <c r="U12" s="260" t="s">
        <v>4</v>
      </c>
      <c r="V12" s="261" t="s">
        <v>63</v>
      </c>
    </row>
    <row r="13" spans="3:22" ht="15" customHeight="1" x14ac:dyDescent="0.2">
      <c r="C13" s="156" t="s">
        <v>11</v>
      </c>
      <c r="D13" s="197">
        <v>8</v>
      </c>
      <c r="E13" s="182">
        <v>10</v>
      </c>
      <c r="F13" s="182">
        <v>2</v>
      </c>
      <c r="G13" s="182">
        <v>13</v>
      </c>
      <c r="H13" s="182">
        <v>16</v>
      </c>
      <c r="I13" s="182">
        <v>3</v>
      </c>
      <c r="J13" s="182">
        <v>9</v>
      </c>
      <c r="K13" s="182">
        <v>1</v>
      </c>
      <c r="L13" s="182">
        <v>14</v>
      </c>
      <c r="M13" s="182">
        <v>5</v>
      </c>
      <c r="N13" s="182">
        <v>4</v>
      </c>
      <c r="O13" s="182">
        <v>6</v>
      </c>
      <c r="P13" s="182">
        <v>15</v>
      </c>
      <c r="Q13" s="182">
        <v>11</v>
      </c>
      <c r="R13" s="182">
        <v>12</v>
      </c>
      <c r="S13" s="198">
        <v>7</v>
      </c>
      <c r="U13" s="260" t="s">
        <v>5</v>
      </c>
      <c r="V13" s="261" t="s">
        <v>162</v>
      </c>
    </row>
    <row r="14" spans="3:22" ht="15" customHeight="1" x14ac:dyDescent="0.2">
      <c r="C14" s="156" t="s">
        <v>12</v>
      </c>
      <c r="D14" s="199">
        <v>1</v>
      </c>
      <c r="E14" s="183">
        <v>6</v>
      </c>
      <c r="F14" s="183">
        <v>4</v>
      </c>
      <c r="G14" s="183">
        <v>15</v>
      </c>
      <c r="H14" s="183">
        <v>14</v>
      </c>
      <c r="I14" s="183">
        <v>9</v>
      </c>
      <c r="J14" s="183">
        <v>7</v>
      </c>
      <c r="K14" s="183">
        <v>8</v>
      </c>
      <c r="L14" s="183">
        <v>12</v>
      </c>
      <c r="M14" s="183">
        <v>11</v>
      </c>
      <c r="N14" s="183">
        <v>10</v>
      </c>
      <c r="O14" s="183">
        <v>13</v>
      </c>
      <c r="P14" s="183">
        <v>16</v>
      </c>
      <c r="Q14" s="183">
        <v>3</v>
      </c>
      <c r="R14" s="183">
        <v>5</v>
      </c>
      <c r="S14" s="200">
        <v>2</v>
      </c>
      <c r="U14" s="260" t="s">
        <v>6</v>
      </c>
      <c r="V14" s="261" t="s">
        <v>65</v>
      </c>
    </row>
    <row r="15" spans="3:22" ht="15" customHeight="1" x14ac:dyDescent="0.2">
      <c r="C15" s="156" t="s">
        <v>13</v>
      </c>
      <c r="D15" s="197">
        <v>1</v>
      </c>
      <c r="E15" s="182">
        <v>2</v>
      </c>
      <c r="F15" s="182">
        <v>6</v>
      </c>
      <c r="G15" s="182">
        <v>12</v>
      </c>
      <c r="H15" s="182">
        <v>11</v>
      </c>
      <c r="I15" s="182">
        <v>9</v>
      </c>
      <c r="J15" s="182">
        <v>3</v>
      </c>
      <c r="K15" s="182">
        <v>4</v>
      </c>
      <c r="L15" s="182">
        <v>14</v>
      </c>
      <c r="M15" s="182">
        <v>10</v>
      </c>
      <c r="N15" s="182">
        <v>13</v>
      </c>
      <c r="O15" s="182">
        <v>15</v>
      </c>
      <c r="P15" s="182">
        <v>16</v>
      </c>
      <c r="Q15" s="182">
        <v>5</v>
      </c>
      <c r="R15" s="182">
        <v>7</v>
      </c>
      <c r="S15" s="198">
        <v>8</v>
      </c>
      <c r="U15" s="260" t="s">
        <v>7</v>
      </c>
      <c r="V15" s="261" t="s">
        <v>66</v>
      </c>
    </row>
    <row r="16" spans="3:22" ht="15" customHeight="1" x14ac:dyDescent="0.2">
      <c r="C16" s="156" t="s">
        <v>14</v>
      </c>
      <c r="D16" s="197">
        <v>2</v>
      </c>
      <c r="E16" s="182">
        <v>4</v>
      </c>
      <c r="F16" s="182">
        <v>1</v>
      </c>
      <c r="G16" s="182">
        <v>14</v>
      </c>
      <c r="H16" s="182">
        <v>15</v>
      </c>
      <c r="I16" s="182">
        <v>7</v>
      </c>
      <c r="J16" s="182">
        <v>3</v>
      </c>
      <c r="K16" s="182">
        <v>12</v>
      </c>
      <c r="L16" s="182">
        <v>13</v>
      </c>
      <c r="M16" s="182">
        <v>10</v>
      </c>
      <c r="N16" s="182">
        <v>9</v>
      </c>
      <c r="O16" s="182">
        <v>11</v>
      </c>
      <c r="P16" s="182">
        <v>16</v>
      </c>
      <c r="Q16" s="182">
        <v>8</v>
      </c>
      <c r="R16" s="182">
        <v>5</v>
      </c>
      <c r="S16" s="198">
        <v>6</v>
      </c>
      <c r="U16" s="260" t="s">
        <v>8</v>
      </c>
      <c r="V16" s="261" t="s">
        <v>67</v>
      </c>
    </row>
    <row r="17" spans="3:38" ht="15" customHeight="1" x14ac:dyDescent="0.2">
      <c r="C17" s="156" t="s">
        <v>15</v>
      </c>
      <c r="D17" s="197">
        <v>2</v>
      </c>
      <c r="E17" s="182">
        <v>7</v>
      </c>
      <c r="F17" s="182">
        <v>3</v>
      </c>
      <c r="G17" s="182">
        <v>12</v>
      </c>
      <c r="H17" s="182">
        <v>13</v>
      </c>
      <c r="I17" s="182">
        <v>4</v>
      </c>
      <c r="J17" s="182">
        <v>8</v>
      </c>
      <c r="K17" s="182">
        <v>14</v>
      </c>
      <c r="L17" s="182">
        <v>11</v>
      </c>
      <c r="M17" s="182">
        <v>6</v>
      </c>
      <c r="N17" s="182">
        <v>16</v>
      </c>
      <c r="O17" s="182">
        <v>5</v>
      </c>
      <c r="P17" s="182">
        <v>15</v>
      </c>
      <c r="Q17" s="182">
        <v>1</v>
      </c>
      <c r="R17" s="182">
        <v>9</v>
      </c>
      <c r="S17" s="198">
        <v>10</v>
      </c>
      <c r="U17" s="260" t="s">
        <v>9</v>
      </c>
      <c r="V17" s="261" t="s">
        <v>163</v>
      </c>
    </row>
    <row r="18" spans="3:38" ht="15" customHeight="1" x14ac:dyDescent="0.2">
      <c r="C18" s="156" t="s">
        <v>16</v>
      </c>
      <c r="D18" s="199">
        <v>6</v>
      </c>
      <c r="E18" s="183">
        <v>8</v>
      </c>
      <c r="F18" s="183">
        <v>1</v>
      </c>
      <c r="G18" s="183">
        <v>10</v>
      </c>
      <c r="H18" s="183">
        <v>15</v>
      </c>
      <c r="I18" s="183">
        <v>9</v>
      </c>
      <c r="J18" s="183">
        <v>11</v>
      </c>
      <c r="K18" s="183">
        <v>5</v>
      </c>
      <c r="L18" s="183">
        <v>7</v>
      </c>
      <c r="M18" s="183">
        <v>2</v>
      </c>
      <c r="N18" s="183">
        <v>16</v>
      </c>
      <c r="O18" s="183">
        <v>3</v>
      </c>
      <c r="P18" s="183">
        <v>13</v>
      </c>
      <c r="Q18" s="183">
        <v>12</v>
      </c>
      <c r="R18" s="183">
        <v>14</v>
      </c>
      <c r="S18" s="200">
        <v>4</v>
      </c>
      <c r="U18" s="260" t="s">
        <v>24</v>
      </c>
      <c r="V18" s="261" t="s">
        <v>69</v>
      </c>
    </row>
    <row r="19" spans="3:38" ht="15" customHeight="1" x14ac:dyDescent="0.2">
      <c r="C19" s="156" t="s">
        <v>17</v>
      </c>
      <c r="D19" s="75">
        <v>1</v>
      </c>
      <c r="E19" s="76">
        <v>5</v>
      </c>
      <c r="F19" s="76">
        <v>3</v>
      </c>
      <c r="G19" s="76">
        <v>8</v>
      </c>
      <c r="H19" s="76">
        <v>13</v>
      </c>
      <c r="I19" s="76">
        <v>2</v>
      </c>
      <c r="J19" s="76">
        <v>7</v>
      </c>
      <c r="K19" s="76">
        <v>9</v>
      </c>
      <c r="L19" s="76">
        <v>6</v>
      </c>
      <c r="M19" s="76">
        <v>11</v>
      </c>
      <c r="N19" s="76">
        <v>12</v>
      </c>
      <c r="O19" s="76">
        <v>10</v>
      </c>
      <c r="P19" s="76">
        <v>16</v>
      </c>
      <c r="Q19" s="76">
        <v>15</v>
      </c>
      <c r="R19" s="76">
        <v>14</v>
      </c>
      <c r="S19" s="77">
        <v>4</v>
      </c>
      <c r="U19" s="260" t="s">
        <v>25</v>
      </c>
      <c r="V19" s="261" t="s">
        <v>70</v>
      </c>
    </row>
    <row r="20" spans="3:38" ht="15" customHeight="1" x14ac:dyDescent="0.2">
      <c r="C20" s="156" t="s">
        <v>18</v>
      </c>
      <c r="D20" s="201">
        <v>3</v>
      </c>
      <c r="E20" s="79">
        <v>2</v>
      </c>
      <c r="F20" s="79">
        <v>1</v>
      </c>
      <c r="G20" s="79">
        <v>9</v>
      </c>
      <c r="H20" s="79">
        <v>13</v>
      </c>
      <c r="I20" s="79">
        <v>10</v>
      </c>
      <c r="J20" s="79">
        <v>4</v>
      </c>
      <c r="K20" s="79">
        <v>11</v>
      </c>
      <c r="L20" s="79">
        <v>12</v>
      </c>
      <c r="M20" s="79">
        <v>15</v>
      </c>
      <c r="N20" s="79">
        <v>8</v>
      </c>
      <c r="O20" s="79">
        <v>14</v>
      </c>
      <c r="P20" s="76">
        <v>16</v>
      </c>
      <c r="Q20" s="79">
        <v>5</v>
      </c>
      <c r="R20" s="79">
        <v>6</v>
      </c>
      <c r="S20" s="167">
        <v>7</v>
      </c>
      <c r="U20" s="260" t="s">
        <v>26</v>
      </c>
      <c r="V20" s="261" t="s">
        <v>71</v>
      </c>
    </row>
    <row r="21" spans="3:38" ht="15" customHeight="1" x14ac:dyDescent="0.2">
      <c r="C21" s="156" t="s">
        <v>19</v>
      </c>
      <c r="D21" s="201">
        <v>1</v>
      </c>
      <c r="E21" s="79">
        <v>2</v>
      </c>
      <c r="F21" s="79">
        <v>4</v>
      </c>
      <c r="G21" s="79">
        <v>13</v>
      </c>
      <c r="H21" s="79">
        <v>11</v>
      </c>
      <c r="I21" s="79">
        <v>10</v>
      </c>
      <c r="J21" s="79">
        <v>7</v>
      </c>
      <c r="K21" s="79">
        <v>9</v>
      </c>
      <c r="L21" s="79">
        <v>15</v>
      </c>
      <c r="M21" s="79">
        <v>6</v>
      </c>
      <c r="N21" s="79">
        <v>8</v>
      </c>
      <c r="O21" s="79">
        <v>14</v>
      </c>
      <c r="P21" s="76">
        <v>16</v>
      </c>
      <c r="Q21" s="79">
        <v>5</v>
      </c>
      <c r="R21" s="79">
        <v>3</v>
      </c>
      <c r="S21" s="167">
        <v>12</v>
      </c>
      <c r="U21" s="260" t="s">
        <v>31</v>
      </c>
      <c r="V21" s="261" t="s">
        <v>72</v>
      </c>
    </row>
    <row r="22" spans="3:38" ht="15" customHeight="1" x14ac:dyDescent="0.2">
      <c r="C22" s="156" t="s">
        <v>41</v>
      </c>
      <c r="D22" s="201">
        <v>1</v>
      </c>
      <c r="E22" s="79">
        <v>4</v>
      </c>
      <c r="F22" s="79">
        <v>6</v>
      </c>
      <c r="G22" s="79">
        <v>14</v>
      </c>
      <c r="H22" s="79">
        <v>12</v>
      </c>
      <c r="I22" s="79">
        <v>9</v>
      </c>
      <c r="J22" s="79">
        <v>7</v>
      </c>
      <c r="K22" s="79">
        <v>8</v>
      </c>
      <c r="L22" s="79">
        <v>13</v>
      </c>
      <c r="M22" s="79">
        <v>11</v>
      </c>
      <c r="N22" s="79">
        <v>10</v>
      </c>
      <c r="O22" s="79">
        <v>15</v>
      </c>
      <c r="P22" s="76">
        <v>16</v>
      </c>
      <c r="Q22" s="79">
        <v>5</v>
      </c>
      <c r="R22" s="79">
        <v>2</v>
      </c>
      <c r="S22" s="167">
        <v>3</v>
      </c>
      <c r="U22" s="260" t="s">
        <v>32</v>
      </c>
      <c r="V22" s="261" t="s">
        <v>73</v>
      </c>
    </row>
    <row r="23" spans="3:38" ht="15" customHeight="1" x14ac:dyDescent="0.2">
      <c r="C23" s="156" t="s">
        <v>42</v>
      </c>
      <c r="D23" s="201">
        <v>1</v>
      </c>
      <c r="E23" s="79">
        <v>2</v>
      </c>
      <c r="F23" s="79">
        <v>4</v>
      </c>
      <c r="G23" s="79">
        <v>11</v>
      </c>
      <c r="H23" s="79">
        <v>13</v>
      </c>
      <c r="I23" s="79">
        <v>9</v>
      </c>
      <c r="J23" s="79">
        <v>10</v>
      </c>
      <c r="K23" s="79">
        <v>8</v>
      </c>
      <c r="L23" s="79">
        <v>14</v>
      </c>
      <c r="M23" s="79">
        <v>3</v>
      </c>
      <c r="N23" s="79">
        <v>6</v>
      </c>
      <c r="O23" s="79">
        <v>15</v>
      </c>
      <c r="P23" s="76">
        <v>16</v>
      </c>
      <c r="Q23" s="79">
        <v>5</v>
      </c>
      <c r="R23" s="79">
        <v>7</v>
      </c>
      <c r="S23" s="167">
        <v>12</v>
      </c>
      <c r="U23" s="260" t="s">
        <v>35</v>
      </c>
      <c r="V23" s="261" t="s">
        <v>74</v>
      </c>
    </row>
    <row r="24" spans="3:38" ht="12.75" customHeight="1" x14ac:dyDescent="0.2">
      <c r="C24" s="156" t="s">
        <v>43</v>
      </c>
      <c r="D24" s="75">
        <v>2</v>
      </c>
      <c r="E24" s="76">
        <v>10</v>
      </c>
      <c r="F24" s="76">
        <v>7</v>
      </c>
      <c r="G24" s="76">
        <v>13</v>
      </c>
      <c r="H24" s="76">
        <v>15</v>
      </c>
      <c r="I24" s="76">
        <v>8</v>
      </c>
      <c r="J24" s="76">
        <v>12</v>
      </c>
      <c r="K24" s="76">
        <v>3</v>
      </c>
      <c r="L24" s="76">
        <v>9</v>
      </c>
      <c r="M24" s="76">
        <v>4</v>
      </c>
      <c r="N24" s="76">
        <v>5</v>
      </c>
      <c r="O24" s="76">
        <v>11</v>
      </c>
      <c r="P24" s="76">
        <v>16</v>
      </c>
      <c r="Q24" s="76">
        <v>1</v>
      </c>
      <c r="R24" s="76">
        <v>14</v>
      </c>
      <c r="S24" s="77">
        <v>6</v>
      </c>
      <c r="U24" s="260" t="s">
        <v>36</v>
      </c>
      <c r="V24" s="261" t="s">
        <v>75</v>
      </c>
    </row>
    <row r="25" spans="3:38" ht="15" customHeight="1" x14ac:dyDescent="0.2">
      <c r="C25" s="156" t="s">
        <v>44</v>
      </c>
      <c r="D25" s="201">
        <v>2</v>
      </c>
      <c r="E25" s="79">
        <v>1</v>
      </c>
      <c r="F25" s="79">
        <v>3</v>
      </c>
      <c r="G25" s="79">
        <v>14</v>
      </c>
      <c r="H25" s="79">
        <v>12</v>
      </c>
      <c r="I25" s="79">
        <v>10</v>
      </c>
      <c r="J25" s="79">
        <v>4</v>
      </c>
      <c r="K25" s="79">
        <v>5</v>
      </c>
      <c r="L25" s="79">
        <v>11</v>
      </c>
      <c r="M25" s="79">
        <v>13</v>
      </c>
      <c r="N25" s="79">
        <v>7</v>
      </c>
      <c r="O25" s="79">
        <v>9</v>
      </c>
      <c r="P25" s="76">
        <v>16</v>
      </c>
      <c r="Q25" s="79">
        <v>6</v>
      </c>
      <c r="R25" s="79">
        <v>15</v>
      </c>
      <c r="S25" s="167">
        <v>8</v>
      </c>
      <c r="U25" s="260" t="s">
        <v>37</v>
      </c>
      <c r="V25" s="261" t="s">
        <v>164</v>
      </c>
    </row>
    <row r="26" spans="3:38" ht="15" customHeight="1" x14ac:dyDescent="0.25">
      <c r="C26" s="156" t="s">
        <v>45</v>
      </c>
      <c r="D26" s="202">
        <v>1</v>
      </c>
      <c r="E26" s="83">
        <v>2</v>
      </c>
      <c r="F26" s="83">
        <v>4</v>
      </c>
      <c r="G26" s="83">
        <v>14</v>
      </c>
      <c r="H26" s="83">
        <v>15</v>
      </c>
      <c r="I26" s="83">
        <v>10</v>
      </c>
      <c r="J26" s="184">
        <v>3</v>
      </c>
      <c r="K26" s="83">
        <v>5</v>
      </c>
      <c r="L26" s="83">
        <v>13</v>
      </c>
      <c r="M26" s="83">
        <v>11</v>
      </c>
      <c r="N26" s="83">
        <v>6</v>
      </c>
      <c r="O26" s="83">
        <v>8</v>
      </c>
      <c r="P26" s="195">
        <v>16</v>
      </c>
      <c r="Q26" s="83">
        <v>7</v>
      </c>
      <c r="R26" s="83">
        <v>9</v>
      </c>
      <c r="S26" s="203">
        <v>12.1</v>
      </c>
      <c r="V26" s="3"/>
    </row>
    <row r="27" spans="3:38" s="33" customFormat="1" ht="15" customHeight="1" x14ac:dyDescent="0.2">
      <c r="C27" s="156" t="s">
        <v>124</v>
      </c>
      <c r="D27" s="201">
        <v>1</v>
      </c>
      <c r="E27" s="79">
        <v>7</v>
      </c>
      <c r="F27" s="79">
        <v>2</v>
      </c>
      <c r="G27" s="79">
        <v>10</v>
      </c>
      <c r="H27" s="79">
        <v>13</v>
      </c>
      <c r="I27" s="79">
        <v>14</v>
      </c>
      <c r="J27" s="185">
        <v>8</v>
      </c>
      <c r="K27" s="79">
        <v>3</v>
      </c>
      <c r="L27" s="79">
        <v>16</v>
      </c>
      <c r="M27" s="79">
        <v>9</v>
      </c>
      <c r="N27" s="79">
        <v>5</v>
      </c>
      <c r="O27" s="79">
        <v>15</v>
      </c>
      <c r="P27" s="76">
        <v>12</v>
      </c>
      <c r="Q27" s="79">
        <v>4</v>
      </c>
      <c r="R27" s="79">
        <v>11</v>
      </c>
      <c r="S27" s="204">
        <v>6</v>
      </c>
      <c r="V27" s="43" t="s">
        <v>179</v>
      </c>
    </row>
    <row r="28" spans="3:38" s="33" customFormat="1" ht="15" customHeight="1" x14ac:dyDescent="0.2">
      <c r="C28" s="156" t="s">
        <v>125</v>
      </c>
      <c r="D28" s="201">
        <v>3</v>
      </c>
      <c r="E28" s="79">
        <v>15</v>
      </c>
      <c r="F28" s="79">
        <v>1</v>
      </c>
      <c r="G28" s="79">
        <v>14</v>
      </c>
      <c r="H28" s="79">
        <v>12</v>
      </c>
      <c r="I28" s="79">
        <v>2</v>
      </c>
      <c r="J28" s="185">
        <v>13</v>
      </c>
      <c r="K28" s="79">
        <v>4</v>
      </c>
      <c r="L28" s="79">
        <v>7</v>
      </c>
      <c r="M28" s="79">
        <v>11</v>
      </c>
      <c r="N28" s="79">
        <v>6</v>
      </c>
      <c r="O28" s="79">
        <v>10</v>
      </c>
      <c r="P28" s="76">
        <v>5</v>
      </c>
      <c r="Q28" s="79">
        <v>8</v>
      </c>
      <c r="R28" s="79">
        <v>9</v>
      </c>
      <c r="S28" s="204">
        <v>16</v>
      </c>
    </row>
    <row r="29" spans="3:38" s="33" customFormat="1" ht="15" customHeight="1" x14ac:dyDescent="0.2">
      <c r="C29" s="156" t="s">
        <v>126</v>
      </c>
      <c r="D29" s="201">
        <v>9</v>
      </c>
      <c r="E29" s="79">
        <v>6</v>
      </c>
      <c r="F29" s="79">
        <v>4</v>
      </c>
      <c r="G29" s="79">
        <v>14</v>
      </c>
      <c r="H29" s="79">
        <v>3</v>
      </c>
      <c r="I29" s="79">
        <v>1</v>
      </c>
      <c r="J29" s="185">
        <v>5</v>
      </c>
      <c r="K29" s="79">
        <v>2</v>
      </c>
      <c r="L29" s="79">
        <v>10</v>
      </c>
      <c r="M29" s="79">
        <v>8</v>
      </c>
      <c r="N29" s="79">
        <v>16</v>
      </c>
      <c r="O29" s="79">
        <v>11</v>
      </c>
      <c r="P29" s="76">
        <v>15</v>
      </c>
      <c r="Q29" s="79">
        <v>12</v>
      </c>
      <c r="R29" s="79">
        <v>13</v>
      </c>
      <c r="S29" s="204">
        <v>7</v>
      </c>
      <c r="V29" s="19" t="s">
        <v>152</v>
      </c>
      <c r="W29" s="54">
        <f>T42/16</f>
        <v>239.31874999999999</v>
      </c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</row>
    <row r="30" spans="3:38" s="33" customFormat="1" ht="15" customHeight="1" x14ac:dyDescent="0.2">
      <c r="C30" s="156" t="s">
        <v>127</v>
      </c>
      <c r="D30" s="201">
        <v>4</v>
      </c>
      <c r="E30" s="79">
        <v>5</v>
      </c>
      <c r="F30" s="79">
        <v>1</v>
      </c>
      <c r="G30" s="79">
        <v>12</v>
      </c>
      <c r="H30" s="79">
        <v>15</v>
      </c>
      <c r="I30" s="79">
        <v>6</v>
      </c>
      <c r="J30" s="185">
        <v>7</v>
      </c>
      <c r="K30" s="79">
        <v>2</v>
      </c>
      <c r="L30" s="79">
        <v>11</v>
      </c>
      <c r="M30" s="79">
        <v>10</v>
      </c>
      <c r="N30" s="79">
        <v>14</v>
      </c>
      <c r="O30" s="79">
        <v>9</v>
      </c>
      <c r="P30" s="76">
        <v>16</v>
      </c>
      <c r="Q30" s="79">
        <v>3</v>
      </c>
      <c r="R30" s="79">
        <v>13</v>
      </c>
      <c r="S30" s="204">
        <v>8</v>
      </c>
      <c r="W30" s="54">
        <f>D42-W29</f>
        <v>-154.31874999999999</v>
      </c>
      <c r="X30" s="54">
        <f>E42-W29</f>
        <v>-8.3187499999999943</v>
      </c>
      <c r="Y30" s="54">
        <f>F42-W29</f>
        <v>-148.31874999999999</v>
      </c>
      <c r="Z30" s="54">
        <f>G42-W29</f>
        <v>139.68125000000001</v>
      </c>
      <c r="AA30" s="54">
        <f>H42-W29</f>
        <v>142.68125000000001</v>
      </c>
      <c r="AB30" s="54">
        <f>I42-W29</f>
        <v>-24.318749999999994</v>
      </c>
      <c r="AC30" s="54">
        <f>J42-W29</f>
        <v>-128.31874999999999</v>
      </c>
      <c r="AD30" s="54">
        <f>K42-W29</f>
        <v>-64.318749999999994</v>
      </c>
      <c r="AE30" s="54">
        <f>L42-W29</f>
        <v>70.681250000000006</v>
      </c>
      <c r="AF30" s="54">
        <f>M42-W29</f>
        <v>30.681250000000006</v>
      </c>
      <c r="AG30" s="54">
        <f>N42-W29</f>
        <v>25.681250000000006</v>
      </c>
      <c r="AH30" s="54">
        <f>O42-W29</f>
        <v>64.681250000000006</v>
      </c>
      <c r="AI30" s="54">
        <f>P42-W29</f>
        <v>181.68125000000001</v>
      </c>
      <c r="AJ30" s="54">
        <f>Q42-W29</f>
        <v>-33.318749999999994</v>
      </c>
      <c r="AK30" s="54">
        <f>R42-W29</f>
        <v>30.681250000000006</v>
      </c>
      <c r="AL30" s="54">
        <f>S42-W29</f>
        <v>-125.21875</v>
      </c>
    </row>
    <row r="31" spans="3:38" s="33" customFormat="1" ht="15" customHeight="1" x14ac:dyDescent="0.2">
      <c r="C31" s="156" t="s">
        <v>128</v>
      </c>
      <c r="D31" s="201">
        <v>1</v>
      </c>
      <c r="E31" s="79">
        <v>2</v>
      </c>
      <c r="F31" s="79">
        <v>6</v>
      </c>
      <c r="G31" s="79">
        <v>10</v>
      </c>
      <c r="H31" s="79">
        <v>14</v>
      </c>
      <c r="I31" s="79">
        <v>7</v>
      </c>
      <c r="J31" s="185">
        <v>4</v>
      </c>
      <c r="K31" s="79">
        <v>9</v>
      </c>
      <c r="L31" s="79">
        <v>8</v>
      </c>
      <c r="M31" s="79">
        <v>3</v>
      </c>
      <c r="N31" s="79">
        <v>12</v>
      </c>
      <c r="O31" s="79">
        <v>5</v>
      </c>
      <c r="P31" s="76">
        <v>16</v>
      </c>
      <c r="Q31" s="79">
        <v>11</v>
      </c>
      <c r="R31" s="79">
        <v>15</v>
      </c>
      <c r="S31" s="204">
        <v>13</v>
      </c>
      <c r="W31" s="54">
        <f t="shared" ref="W31:AL31" si="0">W30*W30</f>
        <v>23814.276601562498</v>
      </c>
      <c r="X31" s="54">
        <f t="shared" si="0"/>
        <v>69.201601562499903</v>
      </c>
      <c r="Y31" s="54">
        <f t="shared" si="0"/>
        <v>21998.451601562498</v>
      </c>
      <c r="Z31" s="54">
        <f t="shared" si="0"/>
        <v>19510.851601562503</v>
      </c>
      <c r="AA31" s="54">
        <f t="shared" si="0"/>
        <v>20357.939101562501</v>
      </c>
      <c r="AB31" s="54">
        <f t="shared" si="0"/>
        <v>591.40160156249976</v>
      </c>
      <c r="AC31" s="54">
        <f t="shared" si="0"/>
        <v>16465.701601562498</v>
      </c>
      <c r="AD31" s="54">
        <f t="shared" si="0"/>
        <v>4136.9016015624993</v>
      </c>
      <c r="AE31" s="54">
        <f t="shared" si="0"/>
        <v>4995.8391015625011</v>
      </c>
      <c r="AF31" s="54">
        <f t="shared" si="0"/>
        <v>941.33910156250033</v>
      </c>
      <c r="AG31" s="54">
        <f t="shared" si="0"/>
        <v>659.52660156250033</v>
      </c>
      <c r="AH31" s="54">
        <f t="shared" si="0"/>
        <v>4183.6641015625009</v>
      </c>
      <c r="AI31" s="54">
        <f t="shared" si="0"/>
        <v>33008.076601562505</v>
      </c>
      <c r="AJ31" s="54">
        <f t="shared" si="0"/>
        <v>1110.1391015624997</v>
      </c>
      <c r="AK31" s="54">
        <f t="shared" si="0"/>
        <v>941.33910156250033</v>
      </c>
      <c r="AL31" s="54">
        <f t="shared" si="0"/>
        <v>15679.7353515625</v>
      </c>
    </row>
    <row r="32" spans="3:38" s="33" customFormat="1" ht="15" customHeight="1" x14ac:dyDescent="0.2">
      <c r="C32" s="156" t="s">
        <v>129</v>
      </c>
      <c r="D32" s="201">
        <v>9</v>
      </c>
      <c r="E32" s="79">
        <v>14</v>
      </c>
      <c r="F32" s="79">
        <v>1</v>
      </c>
      <c r="G32" s="79">
        <v>16</v>
      </c>
      <c r="H32" s="79">
        <v>10</v>
      </c>
      <c r="I32" s="79">
        <v>2</v>
      </c>
      <c r="J32" s="185">
        <v>13</v>
      </c>
      <c r="K32" s="79">
        <v>3</v>
      </c>
      <c r="L32" s="79">
        <v>7</v>
      </c>
      <c r="M32" s="79">
        <v>11</v>
      </c>
      <c r="N32" s="79">
        <v>8</v>
      </c>
      <c r="O32" s="79">
        <v>4</v>
      </c>
      <c r="P32" s="76">
        <v>5</v>
      </c>
      <c r="Q32" s="79">
        <v>12</v>
      </c>
      <c r="R32" s="79">
        <v>6</v>
      </c>
      <c r="S32" s="204">
        <v>15</v>
      </c>
      <c r="V32" s="44" t="s">
        <v>0</v>
      </c>
      <c r="W32" s="54">
        <f>SUM(W31:AL31)</f>
        <v>168464.38437499999</v>
      </c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</row>
    <row r="33" spans="3:38" s="33" customFormat="1" ht="15" customHeight="1" x14ac:dyDescent="0.2">
      <c r="C33" s="156" t="s">
        <v>130</v>
      </c>
      <c r="D33" s="201">
        <v>6</v>
      </c>
      <c r="E33" s="79">
        <v>11</v>
      </c>
      <c r="F33" s="79">
        <v>1</v>
      </c>
      <c r="G33" s="79">
        <v>14</v>
      </c>
      <c r="H33" s="79">
        <v>7</v>
      </c>
      <c r="I33" s="79">
        <v>8</v>
      </c>
      <c r="J33" s="185">
        <v>12</v>
      </c>
      <c r="K33" s="79">
        <v>4</v>
      </c>
      <c r="L33" s="79">
        <v>3</v>
      </c>
      <c r="M33" s="79">
        <v>13</v>
      </c>
      <c r="N33" s="79">
        <v>5</v>
      </c>
      <c r="O33" s="79">
        <v>10</v>
      </c>
      <c r="P33" s="76">
        <v>16</v>
      </c>
      <c r="Q33" s="79">
        <v>2</v>
      </c>
      <c r="R33" s="79">
        <v>9</v>
      </c>
      <c r="S33" s="204">
        <v>15</v>
      </c>
      <c r="V33" s="43" t="s">
        <v>178</v>
      </c>
      <c r="W33" s="54">
        <f>12*W32</f>
        <v>2021572.6124999998</v>
      </c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</row>
    <row r="34" spans="3:38" s="33" customFormat="1" ht="15" customHeight="1" x14ac:dyDescent="0.2">
      <c r="C34" s="156" t="s">
        <v>131</v>
      </c>
      <c r="D34" s="201">
        <v>5</v>
      </c>
      <c r="E34" s="79">
        <v>15</v>
      </c>
      <c r="F34" s="79">
        <v>1</v>
      </c>
      <c r="G34" s="79">
        <v>14</v>
      </c>
      <c r="H34" s="79">
        <v>6</v>
      </c>
      <c r="I34" s="79">
        <v>13</v>
      </c>
      <c r="J34" s="185">
        <v>4</v>
      </c>
      <c r="K34" s="79">
        <v>12</v>
      </c>
      <c r="L34" s="79">
        <v>16</v>
      </c>
      <c r="M34" s="79">
        <v>10</v>
      </c>
      <c r="N34" s="79">
        <v>9</v>
      </c>
      <c r="O34" s="79">
        <v>8</v>
      </c>
      <c r="P34" s="76">
        <v>11</v>
      </c>
      <c r="Q34" s="79">
        <v>3</v>
      </c>
      <c r="R34" s="79">
        <v>2</v>
      </c>
      <c r="S34" s="204">
        <v>7</v>
      </c>
      <c r="W34" s="248">
        <v>900</v>
      </c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</row>
    <row r="35" spans="3:38" s="33" customFormat="1" ht="15" customHeight="1" x14ac:dyDescent="0.2">
      <c r="C35" s="156" t="s">
        <v>132</v>
      </c>
      <c r="D35" s="201">
        <v>1</v>
      </c>
      <c r="E35" s="79">
        <v>3</v>
      </c>
      <c r="F35" s="79">
        <v>8</v>
      </c>
      <c r="G35" s="79">
        <v>15</v>
      </c>
      <c r="H35" s="79">
        <v>14</v>
      </c>
      <c r="I35" s="79">
        <v>4</v>
      </c>
      <c r="J35" s="185">
        <v>5</v>
      </c>
      <c r="K35" s="79">
        <v>7</v>
      </c>
      <c r="L35" s="79">
        <v>16</v>
      </c>
      <c r="M35" s="79">
        <v>10</v>
      </c>
      <c r="N35" s="79">
        <v>9</v>
      </c>
      <c r="O35" s="79">
        <v>11</v>
      </c>
      <c r="P35" s="76">
        <v>13</v>
      </c>
      <c r="Q35" s="79">
        <v>12</v>
      </c>
      <c r="R35" s="79">
        <v>6</v>
      </c>
      <c r="S35" s="204">
        <v>2</v>
      </c>
      <c r="W35" s="248">
        <f>W34*4080</f>
        <v>3672000</v>
      </c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</row>
    <row r="36" spans="3:38" s="33" customFormat="1" ht="15" customHeight="1" x14ac:dyDescent="0.2">
      <c r="C36" s="156" t="s">
        <v>133</v>
      </c>
      <c r="D36" s="201">
        <v>1</v>
      </c>
      <c r="E36" s="79">
        <v>9</v>
      </c>
      <c r="F36" s="79">
        <v>2</v>
      </c>
      <c r="G36" s="79">
        <v>14</v>
      </c>
      <c r="H36" s="79">
        <v>16</v>
      </c>
      <c r="I36" s="79">
        <v>15</v>
      </c>
      <c r="J36" s="185">
        <v>10</v>
      </c>
      <c r="K36" s="79">
        <v>3</v>
      </c>
      <c r="L36" s="79">
        <v>6</v>
      </c>
      <c r="M36" s="79">
        <v>13</v>
      </c>
      <c r="N36" s="79">
        <v>12</v>
      </c>
      <c r="O36" s="79">
        <v>7</v>
      </c>
      <c r="P36" s="76">
        <v>8</v>
      </c>
      <c r="Q36" s="79">
        <v>5</v>
      </c>
      <c r="R36" s="79">
        <v>11</v>
      </c>
      <c r="S36" s="204">
        <v>4</v>
      </c>
      <c r="V36" s="44" t="s">
        <v>40</v>
      </c>
      <c r="W36" s="54">
        <f>W33/W35</f>
        <v>0.55053720383986926</v>
      </c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</row>
    <row r="37" spans="3:38" s="33" customFormat="1" ht="15" customHeight="1" x14ac:dyDescent="0.2">
      <c r="C37" s="156" t="s">
        <v>134</v>
      </c>
      <c r="D37" s="201">
        <v>4</v>
      </c>
      <c r="E37" s="79">
        <v>13</v>
      </c>
      <c r="F37" s="79">
        <v>5</v>
      </c>
      <c r="G37" s="79">
        <v>15</v>
      </c>
      <c r="H37" s="79">
        <v>16</v>
      </c>
      <c r="I37" s="79">
        <v>11</v>
      </c>
      <c r="J37" s="185">
        <v>14</v>
      </c>
      <c r="K37" s="79">
        <v>6</v>
      </c>
      <c r="L37" s="79">
        <v>8</v>
      </c>
      <c r="M37" s="79">
        <v>9</v>
      </c>
      <c r="N37" s="79">
        <v>7</v>
      </c>
      <c r="O37" s="79">
        <v>10</v>
      </c>
      <c r="P37" s="76">
        <v>12</v>
      </c>
      <c r="Q37" s="79">
        <v>1</v>
      </c>
      <c r="R37" s="79">
        <v>2</v>
      </c>
      <c r="S37" s="204">
        <v>3</v>
      </c>
      <c r="V37" s="39" t="s">
        <v>185</v>
      </c>
      <c r="W37" s="54">
        <f>W33/8160</f>
        <v>247.74174172794116</v>
      </c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</row>
    <row r="38" spans="3:38" s="33" customFormat="1" ht="15" customHeight="1" x14ac:dyDescent="0.25">
      <c r="C38" s="156" t="s">
        <v>135</v>
      </c>
      <c r="D38" s="201">
        <v>1</v>
      </c>
      <c r="E38" s="79">
        <v>16</v>
      </c>
      <c r="F38" s="79">
        <v>4</v>
      </c>
      <c r="G38" s="79">
        <v>8</v>
      </c>
      <c r="H38" s="79">
        <v>14</v>
      </c>
      <c r="I38" s="79">
        <v>3</v>
      </c>
      <c r="J38" s="185">
        <v>15</v>
      </c>
      <c r="K38" s="79">
        <v>5</v>
      </c>
      <c r="L38" s="79">
        <v>6</v>
      </c>
      <c r="M38" s="79">
        <v>7</v>
      </c>
      <c r="N38" s="79">
        <v>2</v>
      </c>
      <c r="O38" s="79">
        <v>9</v>
      </c>
      <c r="P38" s="76">
        <v>13</v>
      </c>
      <c r="Q38" s="79">
        <v>12</v>
      </c>
      <c r="R38" s="79">
        <v>11</v>
      </c>
      <c r="S38" s="204">
        <v>10</v>
      </c>
      <c r="V38" s="3"/>
    </row>
    <row r="39" spans="3:38" s="33" customFormat="1" ht="15" customHeight="1" x14ac:dyDescent="0.25">
      <c r="C39" s="156" t="s">
        <v>136</v>
      </c>
      <c r="D39" s="201">
        <v>3</v>
      </c>
      <c r="E39" s="79">
        <v>12</v>
      </c>
      <c r="F39" s="79">
        <v>1</v>
      </c>
      <c r="G39" s="79">
        <v>13</v>
      </c>
      <c r="H39" s="79">
        <v>14</v>
      </c>
      <c r="I39" s="79">
        <v>4</v>
      </c>
      <c r="J39" s="185">
        <v>4</v>
      </c>
      <c r="K39" s="79">
        <v>2</v>
      </c>
      <c r="L39" s="79">
        <v>5</v>
      </c>
      <c r="M39" s="79">
        <v>8</v>
      </c>
      <c r="N39" s="79">
        <v>6</v>
      </c>
      <c r="O39" s="79">
        <v>11</v>
      </c>
      <c r="P39" s="76">
        <v>15</v>
      </c>
      <c r="Q39" s="79">
        <v>9</v>
      </c>
      <c r="R39" s="79">
        <v>10</v>
      </c>
      <c r="S39" s="204">
        <v>7</v>
      </c>
      <c r="V39" s="3"/>
    </row>
    <row r="40" spans="3:38" s="33" customFormat="1" ht="15" customHeight="1" x14ac:dyDescent="0.25">
      <c r="C40" s="156" t="s">
        <v>137</v>
      </c>
      <c r="D40" s="201">
        <v>2</v>
      </c>
      <c r="E40" s="79">
        <v>13</v>
      </c>
      <c r="F40" s="79">
        <v>1</v>
      </c>
      <c r="G40" s="79">
        <v>12</v>
      </c>
      <c r="H40" s="79">
        <v>14</v>
      </c>
      <c r="I40" s="79">
        <v>3</v>
      </c>
      <c r="J40" s="185">
        <v>7</v>
      </c>
      <c r="K40" s="79">
        <v>4</v>
      </c>
      <c r="L40" s="79">
        <v>8</v>
      </c>
      <c r="M40" s="79">
        <v>9</v>
      </c>
      <c r="N40" s="79">
        <v>10</v>
      </c>
      <c r="O40" s="79">
        <v>11</v>
      </c>
      <c r="P40" s="76">
        <v>16</v>
      </c>
      <c r="Q40" s="79">
        <v>6</v>
      </c>
      <c r="R40" s="79">
        <v>15</v>
      </c>
      <c r="S40" s="204">
        <v>5</v>
      </c>
      <c r="V40" s="3"/>
    </row>
    <row r="41" spans="3:38" s="33" customFormat="1" ht="15" customHeight="1" thickBot="1" x14ac:dyDescent="0.3">
      <c r="C41" s="170" t="s">
        <v>138</v>
      </c>
      <c r="D41" s="205">
        <v>2</v>
      </c>
      <c r="E41" s="173">
        <v>16</v>
      </c>
      <c r="F41" s="173">
        <v>1</v>
      </c>
      <c r="G41" s="173">
        <v>15</v>
      </c>
      <c r="H41" s="173">
        <v>14</v>
      </c>
      <c r="I41" s="173">
        <v>3</v>
      </c>
      <c r="J41" s="206">
        <v>4</v>
      </c>
      <c r="K41" s="173">
        <v>5</v>
      </c>
      <c r="L41" s="173">
        <v>6</v>
      </c>
      <c r="M41" s="173">
        <v>7</v>
      </c>
      <c r="N41" s="173">
        <v>8</v>
      </c>
      <c r="O41" s="173">
        <v>9</v>
      </c>
      <c r="P41" s="207">
        <v>13</v>
      </c>
      <c r="Q41" s="173">
        <v>12</v>
      </c>
      <c r="R41" s="173">
        <v>11</v>
      </c>
      <c r="S41" s="208">
        <v>10</v>
      </c>
      <c r="V41" s="3"/>
    </row>
    <row r="42" spans="3:38" ht="15" customHeight="1" x14ac:dyDescent="0.25">
      <c r="C42" s="150" t="s">
        <v>20</v>
      </c>
      <c r="D42" s="209">
        <f t="shared" ref="D42:I42" si="1">SUM(D12:D41)</f>
        <v>85</v>
      </c>
      <c r="E42" s="181">
        <f t="shared" si="1"/>
        <v>231</v>
      </c>
      <c r="F42" s="181">
        <f t="shared" si="1"/>
        <v>91</v>
      </c>
      <c r="G42" s="181">
        <f t="shared" si="1"/>
        <v>379</v>
      </c>
      <c r="H42" s="181">
        <f t="shared" si="1"/>
        <v>382</v>
      </c>
      <c r="I42" s="181">
        <f t="shared" si="1"/>
        <v>215</v>
      </c>
      <c r="J42" s="186">
        <f>SUM(J12:J27)</f>
        <v>111</v>
      </c>
      <c r="K42" s="181">
        <f t="shared" ref="K42:R42" si="2">SUM(K12:K41)</f>
        <v>175</v>
      </c>
      <c r="L42" s="181">
        <f t="shared" si="2"/>
        <v>310</v>
      </c>
      <c r="M42" s="181">
        <f t="shared" si="2"/>
        <v>270</v>
      </c>
      <c r="N42" s="181">
        <f t="shared" si="2"/>
        <v>265</v>
      </c>
      <c r="O42" s="181">
        <f t="shared" si="2"/>
        <v>304</v>
      </c>
      <c r="P42" s="181">
        <f t="shared" si="2"/>
        <v>421</v>
      </c>
      <c r="Q42" s="181">
        <f t="shared" si="2"/>
        <v>206</v>
      </c>
      <c r="R42" s="181">
        <f t="shared" si="2"/>
        <v>270</v>
      </c>
      <c r="S42" s="210">
        <f>SUM(S12:S27)</f>
        <v>114.1</v>
      </c>
      <c r="T42" s="89">
        <f>SUM(D42:S42)</f>
        <v>3829.1</v>
      </c>
      <c r="U42" s="1"/>
      <c r="V42" s="3"/>
    </row>
    <row r="43" spans="3:38" x14ac:dyDescent="0.2">
      <c r="C43" s="116" t="s">
        <v>21</v>
      </c>
      <c r="D43" s="211">
        <f>(D42/30)</f>
        <v>2.8333333333333335</v>
      </c>
      <c r="E43" s="187">
        <f t="shared" ref="E43:S43" si="3">(E42/30)</f>
        <v>7.7</v>
      </c>
      <c r="F43" s="187">
        <f t="shared" si="3"/>
        <v>3.0333333333333332</v>
      </c>
      <c r="G43" s="187">
        <f t="shared" si="3"/>
        <v>12.633333333333333</v>
      </c>
      <c r="H43" s="187">
        <f t="shared" si="3"/>
        <v>12.733333333333333</v>
      </c>
      <c r="I43" s="187">
        <f t="shared" si="3"/>
        <v>7.166666666666667</v>
      </c>
      <c r="J43" s="187">
        <f t="shared" si="3"/>
        <v>3.7</v>
      </c>
      <c r="K43" s="187">
        <f t="shared" si="3"/>
        <v>5.833333333333333</v>
      </c>
      <c r="L43" s="187">
        <f t="shared" si="3"/>
        <v>10.333333333333334</v>
      </c>
      <c r="M43" s="187">
        <f t="shared" si="3"/>
        <v>9</v>
      </c>
      <c r="N43" s="187">
        <f t="shared" si="3"/>
        <v>8.8333333333333339</v>
      </c>
      <c r="O43" s="187">
        <f t="shared" si="3"/>
        <v>10.133333333333333</v>
      </c>
      <c r="P43" s="187">
        <f t="shared" si="3"/>
        <v>14.033333333333333</v>
      </c>
      <c r="Q43" s="187">
        <f t="shared" si="3"/>
        <v>6.8666666666666663</v>
      </c>
      <c r="R43" s="187">
        <f t="shared" si="3"/>
        <v>9</v>
      </c>
      <c r="S43" s="212">
        <f t="shared" si="3"/>
        <v>3.8033333333333332</v>
      </c>
      <c r="T43" s="188">
        <f>SUM(D43:S43)</f>
        <v>127.63666666666666</v>
      </c>
      <c r="V43" s="1"/>
    </row>
    <row r="44" spans="3:38" x14ac:dyDescent="0.2">
      <c r="C44" s="116" t="s">
        <v>184</v>
      </c>
      <c r="D44" s="211">
        <f>(D43/T43)</f>
        <v>2.2198427828993762E-2</v>
      </c>
      <c r="E44" s="187">
        <f>(E43/T43)</f>
        <v>6.0327492099971278E-2</v>
      </c>
      <c r="F44" s="187">
        <f>(F43/T43)</f>
        <v>2.3765375675746259E-2</v>
      </c>
      <c r="G44" s="187">
        <f>(G43/T43)</f>
        <v>9.8978872319866296E-2</v>
      </c>
      <c r="H44" s="187">
        <f>(H43/T43)</f>
        <v>9.9762346243242539E-2</v>
      </c>
      <c r="I44" s="187">
        <f>(I43/T43)</f>
        <v>5.6148964508631279E-2</v>
      </c>
      <c r="J44" s="187">
        <f>(J43/T43)</f>
        <v>2.8988535164921263E-2</v>
      </c>
      <c r="K44" s="187">
        <f>(K43/T43)</f>
        <v>4.570264553028127E-2</v>
      </c>
      <c r="L44" s="187">
        <f>(L43/T43)</f>
        <v>8.0958972082212546E-2</v>
      </c>
      <c r="M44" s="187">
        <f>(M43/T43)</f>
        <v>7.0512653103862538E-2</v>
      </c>
      <c r="N44" s="187">
        <f>(N43/T43)</f>
        <v>6.9206863231568785E-2</v>
      </c>
      <c r="O44" s="187">
        <f>(O43/T43)</f>
        <v>7.9392024235460032E-2</v>
      </c>
      <c r="P44" s="187">
        <f>(P43/T43)</f>
        <v>0.1099475072471338</v>
      </c>
      <c r="Q44" s="187">
        <f>(Q43/T43)</f>
        <v>5.3798542738502521E-2</v>
      </c>
      <c r="R44" s="187">
        <f>(R43/T43)</f>
        <v>7.0512653103862538E-2</v>
      </c>
      <c r="S44" s="212">
        <f>(S43/T43)</f>
        <v>2.9798124885743387E-2</v>
      </c>
      <c r="T44" s="57"/>
      <c r="V44" s="23"/>
      <c r="W44" s="9"/>
      <c r="X44" s="9"/>
      <c r="Y44" s="9"/>
    </row>
    <row r="45" spans="3:38" x14ac:dyDescent="0.2">
      <c r="C45" s="116"/>
      <c r="D45" s="211">
        <f>(1-D44)</f>
        <v>0.97780157217100627</v>
      </c>
      <c r="E45" s="187">
        <f t="shared" ref="E45:R45" si="4">(1-E44)</f>
        <v>0.93967250790002876</v>
      </c>
      <c r="F45" s="187">
        <f t="shared" si="4"/>
        <v>0.97623462432425379</v>
      </c>
      <c r="G45" s="187">
        <f t="shared" si="4"/>
        <v>0.90102112768013365</v>
      </c>
      <c r="H45" s="187">
        <f t="shared" si="4"/>
        <v>0.90023765375675746</v>
      </c>
      <c r="I45" s="187">
        <f t="shared" si="4"/>
        <v>0.94385103549136873</v>
      </c>
      <c r="J45" s="187">
        <f t="shared" si="4"/>
        <v>0.97101146483507872</v>
      </c>
      <c r="K45" s="187">
        <f t="shared" si="4"/>
        <v>0.95429735446971875</v>
      </c>
      <c r="L45" s="187">
        <f t="shared" si="4"/>
        <v>0.91904102791778741</v>
      </c>
      <c r="M45" s="187">
        <f t="shared" si="4"/>
        <v>0.92948734689613743</v>
      </c>
      <c r="N45" s="187">
        <f t="shared" si="4"/>
        <v>0.93079313676843123</v>
      </c>
      <c r="O45" s="187">
        <f t="shared" si="4"/>
        <v>0.92060797576454001</v>
      </c>
      <c r="P45" s="187">
        <f t="shared" si="4"/>
        <v>0.89005249275286624</v>
      </c>
      <c r="Q45" s="187">
        <f t="shared" si="4"/>
        <v>0.94620145726149751</v>
      </c>
      <c r="R45" s="187">
        <f t="shared" si="4"/>
        <v>0.92948734689613743</v>
      </c>
      <c r="S45" s="212">
        <f t="shared" ref="S45" si="5">SUM(1-S44)</f>
        <v>0.9702018751142566</v>
      </c>
      <c r="T45" s="179">
        <f>SUM(D45:S45)</f>
        <v>14.999999999999998</v>
      </c>
      <c r="V45" s="23"/>
      <c r="W45" s="9"/>
      <c r="X45" s="9"/>
      <c r="Y45" s="9"/>
    </row>
    <row r="46" spans="3:38" x14ac:dyDescent="0.2">
      <c r="C46" s="116" t="s">
        <v>161</v>
      </c>
      <c r="D46" s="211">
        <f>(D45/15)</f>
        <v>6.518677147806709E-2</v>
      </c>
      <c r="E46" s="187">
        <f t="shared" ref="E46:S46" si="6">(E45/15)</f>
        <v>6.2644833860001914E-2</v>
      </c>
      <c r="F46" s="187">
        <f t="shared" si="6"/>
        <v>6.5082308288283583E-2</v>
      </c>
      <c r="G46" s="187">
        <f t="shared" si="6"/>
        <v>6.006807517867558E-2</v>
      </c>
      <c r="H46" s="187">
        <f t="shared" si="6"/>
        <v>6.0015843583783833E-2</v>
      </c>
      <c r="I46" s="187">
        <f t="shared" si="6"/>
        <v>6.2923402366091244E-2</v>
      </c>
      <c r="J46" s="187">
        <f t="shared" si="6"/>
        <v>6.473409765567191E-2</v>
      </c>
      <c r="K46" s="187">
        <f t="shared" si="6"/>
        <v>6.361982363131459E-2</v>
      </c>
      <c r="L46" s="187">
        <f t="shared" si="6"/>
        <v>6.1269401861185825E-2</v>
      </c>
      <c r="M46" s="187">
        <f t="shared" si="6"/>
        <v>6.1965823126409164E-2</v>
      </c>
      <c r="N46" s="187">
        <f t="shared" si="6"/>
        <v>6.2052875784562082E-2</v>
      </c>
      <c r="O46" s="187">
        <f t="shared" si="6"/>
        <v>6.1373865050969333E-2</v>
      </c>
      <c r="P46" s="187">
        <f t="shared" si="6"/>
        <v>5.9336832850191083E-2</v>
      </c>
      <c r="Q46" s="187">
        <f t="shared" si="6"/>
        <v>6.3080097150766498E-2</v>
      </c>
      <c r="R46" s="187">
        <f t="shared" si="6"/>
        <v>6.1965823126409164E-2</v>
      </c>
      <c r="S46" s="212">
        <f t="shared" si="6"/>
        <v>6.4680125007617106E-2</v>
      </c>
      <c r="T46" s="95">
        <f>SUM(D46:S46)</f>
        <v>0.99999999999999989</v>
      </c>
      <c r="V46" s="23"/>
      <c r="W46" s="9"/>
      <c r="X46" s="9"/>
      <c r="Y46" s="9"/>
    </row>
    <row r="47" spans="3:38" x14ac:dyDescent="0.2">
      <c r="C47" s="116"/>
      <c r="D47" s="213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214"/>
    </row>
    <row r="48" spans="3:38" ht="13.5" thickBot="1" x14ac:dyDescent="0.25">
      <c r="C48" s="118" t="s">
        <v>22</v>
      </c>
      <c r="D48" s="215">
        <f>IF(D44=D49,1,IF(D44=E49,2,IF(D44=F49,3,IF(D44=G49,4,IF(D44=H49,5,IF(D44=I49,6,IF(D44=J49,7,IF(D44=K49,8,IF(D44=L49,9,IF(D44=M49,10,IF(D44=N49,11,IF(D44=O49,12,IF(D44=P49,13,IF(D44=Q49,14,IF(D44=R49,15,16)))))))))))))))</f>
        <v>1</v>
      </c>
      <c r="E48" s="216">
        <f>IF(E44=D49,1,IF(E44=E49,2,IF(E44=F49,3,IF(E44=G49,4,IF(E44=H49,5,IF(E44=I49,6,IF(E44=J49,7,IF(E44=K49,8,IF(E44=L49,9,IF(E44=M49,10,IF(E44=N49,11,IF(E44=O49,12,IF(E44=P49,13,IF(E44=Q49,14,IF(E44=R49,15,16)))))))))))))))</f>
        <v>8</v>
      </c>
      <c r="F48" s="216">
        <f>IF(F44=D49,1,IF(F44=E49,2,IF(F44=F49,3,IF(F44=G49,4,IF(F44=H49,5,IF(F44=I49,6,IF(F44=J49,7,IF(F44=K49,8,IF(F44=L49,9,IF(F44=M49,10,IF(F44=N49,11,IF(F44=O49,12,IF(F44=P49,13,IF(F44=Q49,14,IF(F44=R49,15,16)))))))))))))))</f>
        <v>2</v>
      </c>
      <c r="G48" s="216">
        <f>IF(G44=D49,1,IF(G44=E49,2,IF(G44=F49,3,IF(G44=G49,4,IF(G44=H49,5,IF(G44=I49,6,IF(G44=J49,7,IF(G44=K49,8,IF(G44=L49,9,IF(G44=M49,10,IF(G44=N49,11,IF(G44=O49,12,IF(G44=P49,13,IF(G44=Q49,14,IF(G44=R49,15,16)))))))))))))))</f>
        <v>14</v>
      </c>
      <c r="H48" s="216">
        <f>IF(H44=D49,1,IF(H44=E49,2,IF(H44=F49,3,IF(H44=G49,4,IF(H44=H49,5,IF(H44=I49,6,IF(H44=J49,7,IF(H44=K49,8,IF(H44=L49,9,IF(H44=M49,10,IF(H44=N49,11,IF(H44=O49,12,IF(H44=P49,13,IF(H44=Q49,14,IF(H44=R49,15,16)))))))))))))))</f>
        <v>15</v>
      </c>
      <c r="I48" s="216">
        <f>IF(I44=D49,1,IF(I44=E49,2,IF(I44=F49,3,IF(I44=G49,4,IF(I44=H49,5,IF(I44=I49,6,IF(I44=J49,7,IF(I44=K49,8,IF(I44=L49,9,IF(I44=M49,10,IF(I44=N49,11,IF(I44=O49,12,IF(I44=P49,13,IF(I44=Q49,14,IF(I44=R49,15,16)))))))))))))))</f>
        <v>7</v>
      </c>
      <c r="J48" s="216">
        <f>IF(J44=D49,1,IF(J44=E49,2,IF(J44=F49,3,IF(J44=G49,4,IF(J44=H49,5,IF(J44=I49,6,IF(J44=J49,7,IF(J44=K49,8,IF(J44=L49,9,IF(J44=M49,10,IF(J44=N49,11,IF(J44=O49,12,IF(J44=P49,13,IF(J44=Q49,14,IF(J44=R49,15,16)))))))))))))))</f>
        <v>3</v>
      </c>
      <c r="K48" s="216">
        <f>IF(K44=D49,1,IF(K44=E49,2,IF(K44=F49,3,IF(K44=G49,4,IF(K44=H49,5,IF(K44=I49,6,IF(K44=J49,7,IF(K44=K49,8,IF(K44=L49,9,IF(K44=M49,10,IF(K44=N49,11,IF(K44=O49,12,IF(K44=P49,13,IF(K44=Q49,14,IF(K44=R49,15,16)))))))))))))))</f>
        <v>5</v>
      </c>
      <c r="L48" s="216">
        <f>IF(L44=D49,1,IF(L44=E49,2,IF(L44=F49,3,IF(L44=G49,4,IF(L44=H49,5,IF(L44=I49,6,IF(L44=J49,7,IF(L44=K49,8,IF(L44=L49,9,IF(L44=M49,10,IF(L44=N49,11,IF(L44=O49,12,IF(L44=P49,13,IF(L44=Q49,14,IF(L44=R49,15,16)))))))))))))))</f>
        <v>13</v>
      </c>
      <c r="M48" s="216">
        <f>IF(M44=D49,1,IF(M44=E49,2,IF(M44=F49,3,IF(M44=G49,4,IF(M44=H49,5,IF(M44=I49,6,IF(M44=J49,7,IF(M44=K49,8,IF(M44=L49,9,IF(M44=M49,10,IF(M44=N49,11,IF(M44=O49,12,IF(M44=P49,13,IF(M44=Q49,14,IF(M44=R49,15,16)))))))))))))))</f>
        <v>10</v>
      </c>
      <c r="N48" s="216">
        <f>IF(N44=D49,1,IF(N44=E49,2,IF(N44=F49,3,IF(N44=G49,4,IF(N44=H49,5,IF(N44=I49,6,IF(N44=J49,7,IF(N44=K49,8,IF(N44=L49,9,IF(N44=M49,10,IF(N44=N49,11,IF(N44=O49,12,IF(N44=P49,13,IF(N44=Q49,14,IF(N44=R49,15,16)))))))))))))))</f>
        <v>9</v>
      </c>
      <c r="O48" s="216">
        <f>IF(O44=D49,1,IF(O44=E49,2,IF(O44=F49,3,IF(O44=G49,4,IF(O44=H49,5,IF(O44=I49,6,IF(O44=J49,7,IF(O44=K49,8,IF(O44=L49,9,IF(O44=M49,10,IF(O44=N49,11,IF(O44=O49,12,IF(O44=P49,13,IF(O44=Q49,14,IF(O44=R49,15,16)))))))))))))))</f>
        <v>12</v>
      </c>
      <c r="P48" s="216">
        <f>IF(P44=D49,1,IF(P44=E49,2,IF(P44=F49,3,IF(P44=G49,4,IF(P44=H49,5,IF(P44=I49,6,IF(P44=J49,7,IF(P44=K49,8,IF(P44=L49,9,IF(P44=M49,10,IF(P44=N49,11,IF(P44=O49,12,IF(P44=P49,13,IF(P44=Q49,14,IF(P44=R49,15,16)))))))))))))))</f>
        <v>16</v>
      </c>
      <c r="Q48" s="216">
        <f>IF(Q44=D49,1,IF(Q44=E49,2,IF(Q44=F49,3,IF(Q44=G49,4,IF(Q44=H49,5,IF(Q44=I49,6,IF(Q44=J49,7,IF(Q44=K49,8,IF(Q44=L49,9,IF(Q44=M49,10,IF(Q44=N49,11,IF(Q44=O49,12,IF(Q44=P49,13,IF(Q44=Q49,14,IF(Q44=R49,15,16)))))))))))))))</f>
        <v>6</v>
      </c>
      <c r="R48" s="216">
        <f>IF(R44=D49,1,IF(R44=E49,2,IF(R44=F49,3,IF(R44=G49,4,IF(R44=H49,5,IF(R44=I49,6,IF(R44=J49,7,IF(R44=K49,8,IF(R44=L49,9,IF(R44=M49,10,IF(R44=N49,11,IF(R44=O49,12,IF(R44=P49,13,IF(R44=Q49,14,IF(R44=R49,15,16)))))))))))))))</f>
        <v>10</v>
      </c>
      <c r="S48" s="217">
        <f>IF(S44=D49,1,IF(S44=E49,2,IF(S44=F49,3,IF(S44=G49,4,IF(S44=H49,5,IF(S44=I49,6,IF(S44=J49,7,IF(S44=K49,8,IF(S44=L49,9,IF(S44=M49,10,IF(S44=N49,11,IF(S44=O49,12,IF(S44=P49,13,IF(S44=Q49,14,IF(S44=R49,15,16)))))))))))))))</f>
        <v>4</v>
      </c>
    </row>
    <row r="49" spans="3:25" x14ac:dyDescent="0.2">
      <c r="C49" s="33"/>
      <c r="D49" s="54">
        <f>SMALL(D44:S44,1)</f>
        <v>2.2198427828993762E-2</v>
      </c>
      <c r="E49" s="54">
        <f>SMALL(D44:S44,2)</f>
        <v>2.3765375675746259E-2</v>
      </c>
      <c r="F49" s="54">
        <f>SMALL(D44:S44,3)</f>
        <v>2.8988535164921263E-2</v>
      </c>
      <c r="G49" s="54">
        <f>SMALL(D44:S44,4)</f>
        <v>2.9798124885743387E-2</v>
      </c>
      <c r="H49" s="54">
        <f>SMALL(D44:S44,5)</f>
        <v>4.570264553028127E-2</v>
      </c>
      <c r="I49" s="54">
        <f>SMALL(D44:S44,6)</f>
        <v>5.3798542738502521E-2</v>
      </c>
      <c r="J49" s="54">
        <f>SMALL(D44:S44,7)</f>
        <v>5.6148964508631279E-2</v>
      </c>
      <c r="K49" s="54">
        <f>SMALL(D44:S44,8)</f>
        <v>6.0327492099971278E-2</v>
      </c>
      <c r="L49" s="54">
        <f>SMALL(D44:S44,9)</f>
        <v>6.9206863231568785E-2</v>
      </c>
      <c r="M49" s="54">
        <f>SMALL(D44:S44,10)</f>
        <v>7.0512653103862538E-2</v>
      </c>
      <c r="N49" s="54">
        <f>SMALL(D44:S44,11)</f>
        <v>7.0512653103862538E-2</v>
      </c>
      <c r="O49" s="54">
        <f>SMALL(D44:S44,12)</f>
        <v>7.9392024235460032E-2</v>
      </c>
      <c r="P49" s="54">
        <f>SMALL(D44:S44,13)</f>
        <v>8.0958972082212546E-2</v>
      </c>
      <c r="Q49" s="54">
        <f>SMALL(D44:S44,14)</f>
        <v>9.8978872319866296E-2</v>
      </c>
      <c r="R49" s="54">
        <f>SMALL(D44:S44,15)</f>
        <v>9.9762346243242539E-2</v>
      </c>
      <c r="S49" s="54">
        <f>SMALL(D44:S44,16)</f>
        <v>0.1099475072471338</v>
      </c>
    </row>
    <row r="51" spans="3:25" x14ac:dyDescent="0.2"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</row>
    <row r="53" spans="3:25" x14ac:dyDescent="0.2">
      <c r="V53" s="35"/>
      <c r="W53" s="35"/>
      <c r="X53" s="35"/>
      <c r="Y53" s="35"/>
    </row>
    <row r="77" spans="3:19" x14ac:dyDescent="0.2">
      <c r="D77" s="27" t="s">
        <v>50</v>
      </c>
    </row>
    <row r="78" spans="3:19" x14ac:dyDescent="0.2">
      <c r="C78" s="27">
        <v>0.14649999999999999</v>
      </c>
      <c r="D78" s="30">
        <f>D46*0.1465</f>
        <v>9.5498620215368289E-3</v>
      </c>
      <c r="E78" s="30">
        <f t="shared" ref="E78:S78" si="7">E46*0.1465</f>
        <v>9.1774681604902802E-3</v>
      </c>
      <c r="F78" s="30">
        <f t="shared" si="7"/>
        <v>9.5345581642335437E-3</v>
      </c>
      <c r="G78" s="30">
        <f t="shared" si="7"/>
        <v>8.7999730136759727E-3</v>
      </c>
      <c r="H78" s="30">
        <f t="shared" si="7"/>
        <v>8.7923210850243318E-3</v>
      </c>
      <c r="I78" s="30">
        <f t="shared" si="7"/>
        <v>9.2182784466323664E-3</v>
      </c>
      <c r="J78" s="30">
        <f t="shared" si="7"/>
        <v>9.4835453065559346E-3</v>
      </c>
      <c r="K78" s="30">
        <f t="shared" si="7"/>
        <v>9.3203041619875863E-3</v>
      </c>
      <c r="L78" s="30">
        <f t="shared" si="7"/>
        <v>8.9759673726637224E-3</v>
      </c>
      <c r="M78" s="30">
        <f t="shared" si="7"/>
        <v>9.0779930880189423E-3</v>
      </c>
      <c r="N78" s="30">
        <f t="shared" si="7"/>
        <v>9.0907463024383437E-3</v>
      </c>
      <c r="O78" s="30">
        <f t="shared" si="7"/>
        <v>8.9912712299670058E-3</v>
      </c>
      <c r="P78" s="30">
        <f t="shared" si="7"/>
        <v>8.692846012552994E-3</v>
      </c>
      <c r="Q78" s="30">
        <f t="shared" si="7"/>
        <v>9.2412342325872907E-3</v>
      </c>
      <c r="R78" s="30">
        <f t="shared" si="7"/>
        <v>9.0779930880189423E-3</v>
      </c>
      <c r="S78" s="30">
        <f t="shared" si="7"/>
        <v>9.4756383136159056E-3</v>
      </c>
    </row>
    <row r="81" spans="2:23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23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23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23" x14ac:dyDescent="0.2">
      <c r="B84" s="1"/>
      <c r="C84" s="282"/>
      <c r="D84" s="282"/>
      <c r="E84" s="282"/>
      <c r="F84" s="282"/>
      <c r="G84" s="28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2:23" x14ac:dyDescent="0.2">
      <c r="B85" s="1"/>
      <c r="C85" s="282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2:23" x14ac:dyDescent="0.2">
      <c r="B86" s="1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U86" s="1"/>
      <c r="V86" s="1"/>
      <c r="W86" s="1"/>
    </row>
    <row r="87" spans="2:23" x14ac:dyDescent="0.2">
      <c r="B87" s="1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U87" s="1"/>
      <c r="V87" s="1"/>
      <c r="W87" s="1"/>
    </row>
    <row r="88" spans="2:23" x14ac:dyDescent="0.2">
      <c r="B88" s="1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U88" s="1"/>
      <c r="V88" s="1"/>
      <c r="W88" s="1"/>
    </row>
    <row r="89" spans="2:23" x14ac:dyDescent="0.2">
      <c r="B89" s="1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U89" s="1"/>
      <c r="V89" s="1"/>
      <c r="W89" s="1"/>
    </row>
    <row r="90" spans="2:23" ht="15.75" x14ac:dyDescent="0.2">
      <c r="B90" s="1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U90" s="1"/>
      <c r="V90" s="4"/>
      <c r="W90" s="1"/>
    </row>
    <row r="91" spans="2:23" ht="15.75" x14ac:dyDescent="0.2">
      <c r="B91" s="1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U91" s="1"/>
      <c r="V91" s="4"/>
      <c r="W91" s="1"/>
    </row>
    <row r="92" spans="2:23" ht="15.75" x14ac:dyDescent="0.2">
      <c r="B92" s="1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U92" s="1"/>
      <c r="V92" s="4"/>
      <c r="W92" s="1"/>
    </row>
    <row r="93" spans="2:23" ht="15.75" x14ac:dyDescent="0.2">
      <c r="B93" s="1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4"/>
      <c r="W93" s="1"/>
    </row>
    <row r="94" spans="2:23" ht="15.75" x14ac:dyDescent="0.2">
      <c r="B94" s="1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U94" s="1"/>
      <c r="V94" s="4"/>
      <c r="W94" s="1"/>
    </row>
    <row r="95" spans="2:23" ht="15.75" x14ac:dyDescent="0.2">
      <c r="B95" s="1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U95" s="1"/>
      <c r="V95" s="4"/>
      <c r="W95" s="1"/>
    </row>
    <row r="96" spans="2:23" x14ac:dyDescent="0.2">
      <c r="B96" s="1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  <row r="97" spans="2:23" x14ac:dyDescent="0.2">
      <c r="B97" s="1"/>
      <c r="C97" s="11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>
        <f>SUM(D97:G97)</f>
        <v>0</v>
      </c>
      <c r="U97" s="1"/>
      <c r="V97" s="1"/>
      <c r="W97" s="1"/>
    </row>
    <row r="98" spans="2:23" x14ac:dyDescent="0.2">
      <c r="B98" s="1"/>
      <c r="C98" s="11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8"/>
      <c r="U98" s="1"/>
      <c r="V98" s="1"/>
      <c r="W98" s="1"/>
    </row>
    <row r="99" spans="2:23" ht="15.75" x14ac:dyDescent="0.25">
      <c r="B99" s="1"/>
      <c r="C99" s="11"/>
      <c r="D99" s="2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"/>
      <c r="V99" s="1"/>
      <c r="W99" s="1"/>
    </row>
    <row r="100" spans="2:23" x14ac:dyDescent="0.2">
      <c r="B100" s="1"/>
      <c r="C100" s="11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</sheetData>
  <sheetProtection selectLockedCells="1" selectUnlockedCells="1"/>
  <mergeCells count="4">
    <mergeCell ref="C10:C11"/>
    <mergeCell ref="D10:S10"/>
    <mergeCell ref="C84:C85"/>
    <mergeCell ref="D84:G84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01"/>
  <sheetViews>
    <sheetView workbookViewId="0">
      <selection activeCell="C5" sqref="C5"/>
    </sheetView>
  </sheetViews>
  <sheetFormatPr defaultRowHeight="12.75" x14ac:dyDescent="0.2"/>
  <cols>
    <col min="3" max="3" width="25.85546875" customWidth="1"/>
    <col min="4" max="4" width="9.5703125" customWidth="1"/>
    <col min="10" max="10" width="33.85546875" customWidth="1"/>
    <col min="11" max="11" width="10.5703125" bestFit="1" customWidth="1"/>
    <col min="12" max="14" width="9.28515625" bestFit="1" customWidth="1"/>
  </cols>
  <sheetData>
    <row r="5" spans="3:15" x14ac:dyDescent="0.2">
      <c r="C5" s="147" t="s">
        <v>183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3:15" x14ac:dyDescent="0.2"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3:15" x14ac:dyDescent="0.2"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3:15" x14ac:dyDescent="0.2">
      <c r="C8" s="48" t="s">
        <v>38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3:15" ht="13.5" thickBot="1" x14ac:dyDescent="0.25"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3:15" ht="15" customHeight="1" thickBot="1" x14ac:dyDescent="0.25">
      <c r="C10" s="287" t="s">
        <v>1</v>
      </c>
      <c r="D10" s="291" t="s">
        <v>180</v>
      </c>
      <c r="E10" s="292"/>
      <c r="F10" s="292"/>
      <c r="G10" s="293"/>
      <c r="H10" s="19"/>
      <c r="I10" s="109" t="s">
        <v>2</v>
      </c>
      <c r="J10" s="45" t="s">
        <v>46</v>
      </c>
      <c r="K10" s="19"/>
      <c r="L10" s="19"/>
      <c r="M10" s="19"/>
      <c r="N10" s="19"/>
      <c r="O10" s="19"/>
    </row>
    <row r="11" spans="3:15" ht="15" customHeight="1" thickBot="1" x14ac:dyDescent="0.25">
      <c r="C11" s="288"/>
      <c r="D11" s="151" t="s">
        <v>2</v>
      </c>
      <c r="E11" s="152" t="s">
        <v>3</v>
      </c>
      <c r="F11" s="152" t="s">
        <v>4</v>
      </c>
      <c r="G11" s="153" t="s">
        <v>5</v>
      </c>
      <c r="H11" s="19"/>
      <c r="I11" s="109" t="s">
        <v>3</v>
      </c>
      <c r="J11" s="45" t="s">
        <v>60</v>
      </c>
      <c r="K11" s="19"/>
      <c r="L11" s="19"/>
      <c r="M11" s="19"/>
      <c r="N11" s="19"/>
      <c r="O11" s="19"/>
    </row>
    <row r="12" spans="3:15" ht="15" customHeight="1" x14ac:dyDescent="0.2">
      <c r="C12" s="131" t="s">
        <v>10</v>
      </c>
      <c r="D12" s="155">
        <v>1</v>
      </c>
      <c r="E12" s="87">
        <v>2</v>
      </c>
      <c r="F12" s="87">
        <v>4</v>
      </c>
      <c r="G12" s="88">
        <v>3</v>
      </c>
      <c r="H12" s="19"/>
      <c r="I12" s="109" t="s">
        <v>4</v>
      </c>
      <c r="J12" s="45" t="s">
        <v>61</v>
      </c>
      <c r="K12" s="19"/>
      <c r="L12" s="19"/>
      <c r="M12" s="19"/>
      <c r="N12" s="19"/>
      <c r="O12" s="19"/>
    </row>
    <row r="13" spans="3:15" ht="15" customHeight="1" x14ac:dyDescent="0.2">
      <c r="C13" s="156" t="s">
        <v>11</v>
      </c>
      <c r="D13" s="157">
        <v>4</v>
      </c>
      <c r="E13" s="70">
        <v>1</v>
      </c>
      <c r="F13" s="70">
        <v>2</v>
      </c>
      <c r="G13" s="71">
        <v>3</v>
      </c>
      <c r="H13" s="19"/>
      <c r="I13" s="109" t="s">
        <v>5</v>
      </c>
      <c r="J13" s="45" t="s">
        <v>27</v>
      </c>
      <c r="K13" s="19"/>
      <c r="L13" s="19"/>
      <c r="M13" s="19"/>
      <c r="N13" s="19"/>
      <c r="O13" s="19"/>
    </row>
    <row r="14" spans="3:15" ht="15" customHeight="1" x14ac:dyDescent="0.2">
      <c r="C14" s="156" t="s">
        <v>12</v>
      </c>
      <c r="D14" s="158">
        <v>1</v>
      </c>
      <c r="E14" s="159">
        <v>2</v>
      </c>
      <c r="F14" s="159">
        <v>4</v>
      </c>
      <c r="G14" s="160">
        <v>3</v>
      </c>
      <c r="H14" s="19"/>
      <c r="I14" s="19"/>
      <c r="J14" s="107"/>
      <c r="K14" s="19"/>
      <c r="L14" s="19"/>
      <c r="M14" s="19"/>
      <c r="N14" s="19"/>
      <c r="O14" s="19"/>
    </row>
    <row r="15" spans="3:15" ht="15" customHeight="1" x14ac:dyDescent="0.2">
      <c r="C15" s="156" t="s">
        <v>13</v>
      </c>
      <c r="D15" s="157">
        <v>1</v>
      </c>
      <c r="E15" s="70">
        <v>2</v>
      </c>
      <c r="F15" s="70">
        <v>4</v>
      </c>
      <c r="G15" s="71">
        <v>3</v>
      </c>
      <c r="H15" s="19"/>
      <c r="I15" s="19"/>
      <c r="J15" s="43" t="s">
        <v>179</v>
      </c>
      <c r="K15" s="19"/>
      <c r="L15" s="19"/>
      <c r="M15" s="19"/>
      <c r="N15" s="19"/>
      <c r="O15" s="19"/>
    </row>
    <row r="16" spans="3:15" ht="15" customHeight="1" x14ac:dyDescent="0.2">
      <c r="C16" s="156" t="s">
        <v>14</v>
      </c>
      <c r="D16" s="157">
        <v>1</v>
      </c>
      <c r="E16" s="70">
        <v>3</v>
      </c>
      <c r="F16" s="70">
        <v>4</v>
      </c>
      <c r="G16" s="71">
        <v>2</v>
      </c>
      <c r="H16" s="19"/>
      <c r="I16" s="19"/>
      <c r="J16" s="33"/>
      <c r="K16" s="19"/>
      <c r="L16" s="19"/>
      <c r="M16" s="19"/>
      <c r="N16" s="19"/>
      <c r="O16" s="19"/>
    </row>
    <row r="17" spans="3:15" ht="15" customHeight="1" x14ac:dyDescent="0.2">
      <c r="C17" s="156" t="s">
        <v>15</v>
      </c>
      <c r="D17" s="157">
        <v>1</v>
      </c>
      <c r="E17" s="70">
        <v>2</v>
      </c>
      <c r="F17" s="70">
        <v>3</v>
      </c>
      <c r="G17" s="71">
        <v>4</v>
      </c>
      <c r="H17" s="19"/>
      <c r="I17" s="19"/>
      <c r="J17" s="19" t="s">
        <v>152</v>
      </c>
      <c r="K17" s="248">
        <f>H42/4</f>
        <v>75</v>
      </c>
      <c r="L17" s="248"/>
      <c r="M17" s="248"/>
      <c r="N17" s="248"/>
      <c r="O17" s="19"/>
    </row>
    <row r="18" spans="3:15" ht="15" customHeight="1" x14ac:dyDescent="0.2">
      <c r="C18" s="156" t="s">
        <v>16</v>
      </c>
      <c r="D18" s="161">
        <v>1</v>
      </c>
      <c r="E18" s="162">
        <v>3</v>
      </c>
      <c r="F18" s="162">
        <v>2</v>
      </c>
      <c r="G18" s="163">
        <v>4</v>
      </c>
      <c r="H18" s="19"/>
      <c r="I18" s="19"/>
      <c r="J18" s="33"/>
      <c r="K18" s="248">
        <f>D42-K17</f>
        <v>-27</v>
      </c>
      <c r="L18" s="248">
        <f>E42-K17</f>
        <v>-25</v>
      </c>
      <c r="M18" s="248">
        <f>F42-K17</f>
        <v>31</v>
      </c>
      <c r="N18" s="248">
        <f>G42-K17</f>
        <v>21</v>
      </c>
      <c r="O18" s="19"/>
    </row>
    <row r="19" spans="3:15" ht="15" customHeight="1" x14ac:dyDescent="0.2">
      <c r="C19" s="156" t="s">
        <v>17</v>
      </c>
      <c r="D19" s="164">
        <v>1</v>
      </c>
      <c r="E19" s="165">
        <v>2</v>
      </c>
      <c r="F19" s="165">
        <v>4</v>
      </c>
      <c r="G19" s="166">
        <v>3</v>
      </c>
      <c r="H19" s="19"/>
      <c r="I19" s="19"/>
      <c r="J19" s="33"/>
      <c r="K19" s="248">
        <f>K18*K18</f>
        <v>729</v>
      </c>
      <c r="L19" s="248">
        <f>L18*L18</f>
        <v>625</v>
      </c>
      <c r="M19" s="248">
        <f>M18*M18</f>
        <v>961</v>
      </c>
      <c r="N19" s="248">
        <f>N18*N18</f>
        <v>441</v>
      </c>
      <c r="O19" s="19"/>
    </row>
    <row r="20" spans="3:15" ht="15" customHeight="1" x14ac:dyDescent="0.2">
      <c r="C20" s="156" t="s">
        <v>18</v>
      </c>
      <c r="D20" s="157">
        <v>2</v>
      </c>
      <c r="E20" s="70">
        <v>1</v>
      </c>
      <c r="F20" s="79">
        <v>3</v>
      </c>
      <c r="G20" s="167">
        <v>4</v>
      </c>
      <c r="H20" s="19"/>
      <c r="I20" s="19"/>
      <c r="J20" s="44" t="s">
        <v>0</v>
      </c>
      <c r="K20" s="248">
        <f>SUM(K19:N19)</f>
        <v>2756</v>
      </c>
      <c r="L20" s="248"/>
      <c r="M20" s="248"/>
      <c r="N20" s="248"/>
      <c r="O20" s="19"/>
    </row>
    <row r="21" spans="3:15" ht="15" customHeight="1" x14ac:dyDescent="0.2">
      <c r="C21" s="156" t="s">
        <v>19</v>
      </c>
      <c r="D21" s="157">
        <v>1</v>
      </c>
      <c r="E21" s="70">
        <v>2</v>
      </c>
      <c r="F21" s="79">
        <v>4</v>
      </c>
      <c r="G21" s="167">
        <v>3</v>
      </c>
      <c r="H21" s="19"/>
      <c r="I21" s="19"/>
      <c r="J21" s="43" t="s">
        <v>178</v>
      </c>
      <c r="K21" s="248">
        <f>12*K20</f>
        <v>33072</v>
      </c>
      <c r="L21" s="248"/>
      <c r="M21" s="248"/>
      <c r="N21" s="248"/>
      <c r="O21" s="19"/>
    </row>
    <row r="22" spans="3:15" ht="15" customHeight="1" x14ac:dyDescent="0.2">
      <c r="C22" s="156" t="s">
        <v>41</v>
      </c>
      <c r="D22" s="157">
        <v>1</v>
      </c>
      <c r="E22" s="70">
        <v>3</v>
      </c>
      <c r="F22" s="79">
        <v>4</v>
      </c>
      <c r="G22" s="167">
        <v>2</v>
      </c>
      <c r="H22" s="19"/>
      <c r="I22" s="19"/>
      <c r="J22" s="33"/>
      <c r="K22" s="248">
        <v>900</v>
      </c>
      <c r="L22" s="248"/>
      <c r="M22" s="248"/>
      <c r="N22" s="248"/>
      <c r="O22" s="19"/>
    </row>
    <row r="23" spans="3:15" ht="15" customHeight="1" x14ac:dyDescent="0.2">
      <c r="C23" s="156" t="s">
        <v>42</v>
      </c>
      <c r="D23" s="157">
        <v>2</v>
      </c>
      <c r="E23" s="70">
        <v>1</v>
      </c>
      <c r="F23" s="79">
        <v>3</v>
      </c>
      <c r="G23" s="167">
        <v>4</v>
      </c>
      <c r="H23" s="19"/>
      <c r="I23" s="19"/>
      <c r="J23" s="33"/>
      <c r="K23" s="248">
        <f>K22*60</f>
        <v>54000</v>
      </c>
      <c r="L23" s="248"/>
      <c r="M23" s="248"/>
      <c r="N23" s="248"/>
      <c r="O23" s="19"/>
    </row>
    <row r="24" spans="3:15" ht="15" customHeight="1" x14ac:dyDescent="0.2">
      <c r="C24" s="156" t="s">
        <v>43</v>
      </c>
      <c r="D24" s="168">
        <v>2</v>
      </c>
      <c r="E24" s="169">
        <v>1</v>
      </c>
      <c r="F24" s="169">
        <v>4</v>
      </c>
      <c r="G24" s="68">
        <v>3</v>
      </c>
      <c r="H24" s="19"/>
      <c r="I24" s="19"/>
      <c r="J24" s="44" t="s">
        <v>40</v>
      </c>
      <c r="K24" s="54">
        <f>K21/K23</f>
        <v>0.61244444444444446</v>
      </c>
      <c r="L24" s="54"/>
      <c r="M24" s="54"/>
      <c r="N24" s="54"/>
      <c r="O24" s="19"/>
    </row>
    <row r="25" spans="3:15" ht="15" customHeight="1" x14ac:dyDescent="0.2">
      <c r="C25" s="156" t="s">
        <v>44</v>
      </c>
      <c r="D25" s="157">
        <v>1</v>
      </c>
      <c r="E25" s="70">
        <v>2</v>
      </c>
      <c r="F25" s="79">
        <v>4</v>
      </c>
      <c r="G25" s="167">
        <v>3</v>
      </c>
      <c r="H25" s="19"/>
      <c r="I25" s="19"/>
      <c r="J25" s="39" t="s">
        <v>185</v>
      </c>
      <c r="K25" s="54">
        <f>K21/600</f>
        <v>55.12</v>
      </c>
      <c r="L25" s="54"/>
      <c r="M25" s="54"/>
      <c r="N25" s="54"/>
      <c r="O25" s="19"/>
    </row>
    <row r="26" spans="3:15" ht="15" customHeight="1" x14ac:dyDescent="0.2">
      <c r="C26" s="156" t="s">
        <v>45</v>
      </c>
      <c r="D26" s="157">
        <v>1</v>
      </c>
      <c r="E26" s="70">
        <v>3</v>
      </c>
      <c r="F26" s="79">
        <v>4</v>
      </c>
      <c r="G26" s="167">
        <v>2</v>
      </c>
      <c r="H26" s="19"/>
      <c r="I26" s="19"/>
      <c r="J26" s="107"/>
      <c r="K26" s="19"/>
      <c r="L26" s="19"/>
      <c r="M26" s="19"/>
      <c r="N26" s="19"/>
      <c r="O26" s="19"/>
    </row>
    <row r="27" spans="3:15" s="33" customFormat="1" ht="15" customHeight="1" x14ac:dyDescent="0.2">
      <c r="C27" s="156" t="s">
        <v>124</v>
      </c>
      <c r="D27" s="157">
        <v>1</v>
      </c>
      <c r="E27" s="70">
        <v>2</v>
      </c>
      <c r="F27" s="79">
        <v>3</v>
      </c>
      <c r="G27" s="167">
        <v>4</v>
      </c>
      <c r="H27" s="19"/>
      <c r="I27" s="19"/>
      <c r="J27" s="107"/>
      <c r="K27" s="19"/>
      <c r="L27" s="19"/>
      <c r="M27" s="19"/>
      <c r="N27" s="19"/>
      <c r="O27" s="19"/>
    </row>
    <row r="28" spans="3:15" s="33" customFormat="1" ht="15" customHeight="1" x14ac:dyDescent="0.2">
      <c r="C28" s="156" t="s">
        <v>125</v>
      </c>
      <c r="D28" s="157">
        <v>3</v>
      </c>
      <c r="E28" s="70">
        <v>1</v>
      </c>
      <c r="F28" s="79">
        <v>4</v>
      </c>
      <c r="G28" s="167">
        <v>2</v>
      </c>
      <c r="H28" s="19"/>
      <c r="I28" s="19"/>
      <c r="J28" s="107"/>
      <c r="K28" s="19"/>
      <c r="L28" s="19"/>
      <c r="M28" s="19"/>
      <c r="N28" s="19"/>
      <c r="O28" s="19"/>
    </row>
    <row r="29" spans="3:15" s="33" customFormat="1" ht="15" customHeight="1" x14ac:dyDescent="0.2">
      <c r="C29" s="156" t="s">
        <v>126</v>
      </c>
      <c r="D29" s="157">
        <v>1</v>
      </c>
      <c r="E29" s="70">
        <v>2</v>
      </c>
      <c r="F29" s="79">
        <v>3</v>
      </c>
      <c r="G29" s="167">
        <v>4</v>
      </c>
      <c r="H29" s="19"/>
      <c r="I29" s="19"/>
      <c r="J29" s="107"/>
      <c r="K29" s="19"/>
      <c r="L29" s="19"/>
      <c r="M29" s="19"/>
      <c r="N29" s="19"/>
      <c r="O29" s="19"/>
    </row>
    <row r="30" spans="3:15" s="33" customFormat="1" ht="15" customHeight="1" x14ac:dyDescent="0.2">
      <c r="C30" s="156" t="s">
        <v>127</v>
      </c>
      <c r="D30" s="157">
        <v>2</v>
      </c>
      <c r="E30" s="70">
        <v>1</v>
      </c>
      <c r="F30" s="79">
        <v>4</v>
      </c>
      <c r="G30" s="167">
        <v>3</v>
      </c>
      <c r="H30" s="19"/>
      <c r="I30" s="19"/>
      <c r="J30" s="107"/>
      <c r="K30" s="19"/>
      <c r="L30" s="19"/>
      <c r="M30" s="19"/>
      <c r="N30" s="19"/>
      <c r="O30" s="19"/>
    </row>
    <row r="31" spans="3:15" s="33" customFormat="1" ht="15" customHeight="1" x14ac:dyDescent="0.2">
      <c r="C31" s="156" t="s">
        <v>128</v>
      </c>
      <c r="D31" s="157">
        <v>2</v>
      </c>
      <c r="E31" s="70">
        <v>1</v>
      </c>
      <c r="F31" s="79">
        <v>4</v>
      </c>
      <c r="G31" s="167">
        <v>3</v>
      </c>
      <c r="H31" s="19"/>
      <c r="I31" s="19"/>
      <c r="J31" s="107"/>
      <c r="K31" s="19"/>
      <c r="L31" s="19"/>
      <c r="M31" s="19"/>
      <c r="N31" s="19"/>
      <c r="O31" s="19"/>
    </row>
    <row r="32" spans="3:15" s="33" customFormat="1" ht="15" customHeight="1" x14ac:dyDescent="0.2">
      <c r="C32" s="156" t="s">
        <v>129</v>
      </c>
      <c r="D32" s="157">
        <v>1</v>
      </c>
      <c r="E32" s="70">
        <v>2</v>
      </c>
      <c r="F32" s="79">
        <v>4</v>
      </c>
      <c r="G32" s="167">
        <v>3</v>
      </c>
      <c r="H32" s="19"/>
      <c r="I32" s="19"/>
      <c r="J32" s="107"/>
      <c r="K32" s="19"/>
      <c r="L32" s="19"/>
      <c r="M32" s="19"/>
      <c r="N32" s="19"/>
      <c r="O32" s="19"/>
    </row>
    <row r="33" spans="3:15" s="33" customFormat="1" ht="15" customHeight="1" x14ac:dyDescent="0.2">
      <c r="C33" s="156" t="s">
        <v>130</v>
      </c>
      <c r="D33" s="157">
        <v>2</v>
      </c>
      <c r="E33" s="70">
        <v>1</v>
      </c>
      <c r="F33" s="79">
        <v>4</v>
      </c>
      <c r="G33" s="167">
        <v>3</v>
      </c>
      <c r="H33" s="19"/>
      <c r="I33" s="19"/>
      <c r="J33" s="107"/>
      <c r="K33" s="19"/>
      <c r="L33" s="19"/>
      <c r="M33" s="19"/>
      <c r="N33" s="19"/>
      <c r="O33" s="19"/>
    </row>
    <row r="34" spans="3:15" s="33" customFormat="1" ht="15" customHeight="1" x14ac:dyDescent="0.2">
      <c r="C34" s="156" t="s">
        <v>131</v>
      </c>
      <c r="D34" s="157">
        <v>3</v>
      </c>
      <c r="E34" s="70">
        <v>1</v>
      </c>
      <c r="F34" s="79">
        <v>2</v>
      </c>
      <c r="G34" s="167">
        <v>4</v>
      </c>
      <c r="H34" s="19"/>
      <c r="I34" s="19"/>
      <c r="J34" s="107"/>
      <c r="K34" s="19"/>
      <c r="L34" s="19"/>
      <c r="M34" s="19"/>
      <c r="N34" s="19"/>
      <c r="O34" s="19"/>
    </row>
    <row r="35" spans="3:15" s="33" customFormat="1" ht="15" customHeight="1" x14ac:dyDescent="0.2">
      <c r="C35" s="156" t="s">
        <v>132</v>
      </c>
      <c r="D35" s="157">
        <v>1</v>
      </c>
      <c r="E35" s="70">
        <v>2</v>
      </c>
      <c r="F35" s="79">
        <v>4</v>
      </c>
      <c r="G35" s="167">
        <v>3</v>
      </c>
      <c r="H35" s="19"/>
      <c r="I35" s="19"/>
      <c r="J35" s="107"/>
      <c r="K35" s="19"/>
      <c r="L35" s="19"/>
      <c r="M35" s="19"/>
      <c r="N35" s="19"/>
      <c r="O35" s="19"/>
    </row>
    <row r="36" spans="3:15" s="33" customFormat="1" ht="15" customHeight="1" x14ac:dyDescent="0.2">
      <c r="C36" s="156" t="s">
        <v>133</v>
      </c>
      <c r="D36" s="157">
        <v>2</v>
      </c>
      <c r="E36" s="70">
        <v>1</v>
      </c>
      <c r="F36" s="79">
        <v>3</v>
      </c>
      <c r="G36" s="167">
        <v>4</v>
      </c>
      <c r="H36" s="19"/>
      <c r="I36" s="19"/>
      <c r="J36" s="107"/>
      <c r="K36" s="19"/>
      <c r="L36" s="19"/>
      <c r="M36" s="19"/>
      <c r="N36" s="19"/>
      <c r="O36" s="19"/>
    </row>
    <row r="37" spans="3:15" s="33" customFormat="1" ht="15" customHeight="1" x14ac:dyDescent="0.2">
      <c r="C37" s="156" t="s">
        <v>134</v>
      </c>
      <c r="D37" s="157">
        <v>2</v>
      </c>
      <c r="E37" s="70">
        <v>1</v>
      </c>
      <c r="F37" s="79">
        <v>4</v>
      </c>
      <c r="G37" s="167">
        <v>3</v>
      </c>
      <c r="H37" s="19"/>
      <c r="I37" s="19"/>
      <c r="J37" s="107"/>
      <c r="K37" s="19"/>
      <c r="L37" s="19"/>
      <c r="M37" s="19"/>
      <c r="N37" s="19"/>
      <c r="O37" s="19"/>
    </row>
    <row r="38" spans="3:15" s="33" customFormat="1" ht="15" customHeight="1" x14ac:dyDescent="0.2">
      <c r="C38" s="156" t="s">
        <v>135</v>
      </c>
      <c r="D38" s="157">
        <v>2</v>
      </c>
      <c r="E38" s="70">
        <v>1</v>
      </c>
      <c r="F38" s="79">
        <v>4</v>
      </c>
      <c r="G38" s="167">
        <v>3</v>
      </c>
      <c r="H38" s="19"/>
      <c r="I38" s="19"/>
      <c r="J38" s="107"/>
      <c r="K38" s="19"/>
      <c r="L38" s="19"/>
      <c r="M38" s="19"/>
      <c r="N38" s="19"/>
      <c r="O38" s="19"/>
    </row>
    <row r="39" spans="3:15" s="33" customFormat="1" ht="15" customHeight="1" x14ac:dyDescent="0.2">
      <c r="C39" s="156" t="s">
        <v>136</v>
      </c>
      <c r="D39" s="157">
        <v>1</v>
      </c>
      <c r="E39" s="70">
        <v>2</v>
      </c>
      <c r="F39" s="79">
        <v>3</v>
      </c>
      <c r="G39" s="167">
        <v>4</v>
      </c>
      <c r="H39" s="19"/>
      <c r="I39" s="19"/>
      <c r="J39" s="107"/>
      <c r="K39" s="19"/>
      <c r="L39" s="19"/>
      <c r="M39" s="19"/>
      <c r="N39" s="19"/>
      <c r="O39" s="19"/>
    </row>
    <row r="40" spans="3:15" s="33" customFormat="1" ht="15" customHeight="1" x14ac:dyDescent="0.2">
      <c r="C40" s="156" t="s">
        <v>137</v>
      </c>
      <c r="D40" s="157">
        <v>2</v>
      </c>
      <c r="E40" s="70">
        <v>1</v>
      </c>
      <c r="F40" s="79">
        <v>3</v>
      </c>
      <c r="G40" s="167">
        <v>4</v>
      </c>
      <c r="H40" s="19"/>
      <c r="I40" s="19"/>
      <c r="J40" s="107"/>
      <c r="K40" s="19"/>
      <c r="L40" s="19"/>
      <c r="M40" s="19"/>
      <c r="N40" s="19"/>
      <c r="O40" s="19"/>
    </row>
    <row r="41" spans="3:15" s="33" customFormat="1" ht="15" customHeight="1" thickBot="1" x14ac:dyDescent="0.25">
      <c r="C41" s="170" t="s">
        <v>138</v>
      </c>
      <c r="D41" s="171">
        <v>2</v>
      </c>
      <c r="E41" s="172">
        <v>1</v>
      </c>
      <c r="F41" s="173">
        <v>4</v>
      </c>
      <c r="G41" s="174">
        <v>3</v>
      </c>
      <c r="H41" s="19"/>
      <c r="I41" s="19"/>
      <c r="J41" s="107"/>
      <c r="K41" s="19"/>
      <c r="L41" s="19"/>
      <c r="M41" s="19"/>
      <c r="N41" s="19"/>
      <c r="O41" s="19"/>
    </row>
    <row r="42" spans="3:15" ht="15" customHeight="1" x14ac:dyDescent="0.2">
      <c r="C42" s="150" t="s">
        <v>20</v>
      </c>
      <c r="D42" s="175">
        <f>SUM(D12:D41)</f>
        <v>48</v>
      </c>
      <c r="E42" s="176">
        <f>SUM(E12:E41)</f>
        <v>50</v>
      </c>
      <c r="F42" s="176">
        <f>SUM(F12:F41)</f>
        <v>106</v>
      </c>
      <c r="G42" s="177">
        <f>SUM(G12:G41)</f>
        <v>96</v>
      </c>
      <c r="H42" s="89">
        <f>SUM(D42:G42)</f>
        <v>300</v>
      </c>
      <c r="I42" s="19"/>
      <c r="J42" s="107"/>
      <c r="K42" s="19"/>
      <c r="L42" s="19"/>
      <c r="M42" s="19"/>
      <c r="N42" s="19"/>
      <c r="O42" s="19"/>
    </row>
    <row r="43" spans="3:15" x14ac:dyDescent="0.2">
      <c r="C43" s="116" t="s">
        <v>21</v>
      </c>
      <c r="D43" s="136">
        <f>(D42/30)</f>
        <v>1.6</v>
      </c>
      <c r="E43" s="92">
        <f t="shared" ref="E43:G43" si="0">(E42/30)</f>
        <v>1.6666666666666667</v>
      </c>
      <c r="F43" s="92">
        <f t="shared" si="0"/>
        <v>3.5333333333333332</v>
      </c>
      <c r="G43" s="93">
        <f t="shared" si="0"/>
        <v>3.2</v>
      </c>
      <c r="H43" s="89">
        <f>SUM(D43:G43)</f>
        <v>10</v>
      </c>
      <c r="I43" s="19"/>
      <c r="J43" s="107"/>
      <c r="K43" s="19"/>
      <c r="L43" s="19"/>
      <c r="M43" s="19"/>
      <c r="N43" s="19"/>
      <c r="O43" s="19"/>
    </row>
    <row r="44" spans="3:15" x14ac:dyDescent="0.2">
      <c r="C44" s="116" t="s">
        <v>184</v>
      </c>
      <c r="D44" s="136">
        <f>(D43/H43)</f>
        <v>0.16</v>
      </c>
      <c r="E44" s="92">
        <f>(E43/H43)</f>
        <v>0.16666666666666669</v>
      </c>
      <c r="F44" s="92">
        <f>(F43/H43)</f>
        <v>0.35333333333333333</v>
      </c>
      <c r="G44" s="93">
        <f>(G43/H43)</f>
        <v>0.32</v>
      </c>
      <c r="H44" s="57"/>
      <c r="I44" s="19"/>
      <c r="J44" s="117"/>
      <c r="K44" s="106"/>
      <c r="L44" s="106"/>
      <c r="M44" s="106"/>
      <c r="N44" s="19"/>
      <c r="O44" s="19"/>
    </row>
    <row r="45" spans="3:15" x14ac:dyDescent="0.2">
      <c r="C45" s="116"/>
      <c r="D45" s="136">
        <f>SUM(1-D44)</f>
        <v>0.84</v>
      </c>
      <c r="E45" s="92">
        <f t="shared" ref="E45:G45" si="1">SUM(1-E44)</f>
        <v>0.83333333333333326</v>
      </c>
      <c r="F45" s="92">
        <f t="shared" si="1"/>
        <v>0.64666666666666672</v>
      </c>
      <c r="G45" s="93">
        <f t="shared" si="1"/>
        <v>0.67999999999999994</v>
      </c>
      <c r="H45" s="179">
        <f>SUM(D45:G45)</f>
        <v>3</v>
      </c>
      <c r="I45" s="19"/>
      <c r="J45" s="106"/>
      <c r="K45" s="106"/>
      <c r="L45" s="106"/>
      <c r="M45" s="106"/>
      <c r="N45" s="19"/>
      <c r="O45" s="19"/>
    </row>
    <row r="46" spans="3:15" x14ac:dyDescent="0.2">
      <c r="C46" s="116" t="s">
        <v>161</v>
      </c>
      <c r="D46" s="136">
        <f>D45/3</f>
        <v>0.27999999999999997</v>
      </c>
      <c r="E46" s="92">
        <f t="shared" ref="E46:G46" si="2">E45/3</f>
        <v>0.27777777777777773</v>
      </c>
      <c r="F46" s="92">
        <f t="shared" si="2"/>
        <v>0.21555555555555558</v>
      </c>
      <c r="G46" s="93">
        <f t="shared" si="2"/>
        <v>0.22666666666666666</v>
      </c>
      <c r="H46" s="179">
        <f>SUM(D46:G46)</f>
        <v>1</v>
      </c>
      <c r="I46" s="19"/>
      <c r="J46" s="106"/>
      <c r="K46" s="106"/>
      <c r="L46" s="106"/>
      <c r="M46" s="106"/>
      <c r="N46" s="19"/>
      <c r="O46" s="19"/>
    </row>
    <row r="47" spans="3:15" x14ac:dyDescent="0.2">
      <c r="C47" s="116"/>
      <c r="D47" s="178"/>
      <c r="E47" s="67"/>
      <c r="F47" s="67"/>
      <c r="G47" s="68"/>
      <c r="H47" s="19"/>
      <c r="I47" s="19"/>
      <c r="J47" s="19"/>
      <c r="K47" s="19"/>
      <c r="L47" s="19"/>
      <c r="M47" s="19"/>
      <c r="N47" s="19"/>
      <c r="O47" s="19"/>
    </row>
    <row r="48" spans="3:15" ht="13.5" thickBot="1" x14ac:dyDescent="0.25">
      <c r="C48" s="118" t="s">
        <v>22</v>
      </c>
      <c r="D48" s="138">
        <f>IF(D44=D49,1,IF(D44=E49,2,IF(D44=F49,3,IF(D44=G49,4))))</f>
        <v>1</v>
      </c>
      <c r="E48" s="104">
        <f>IF(E44=D49,1,IF(E44=E49,2,IF(E44=F49,3,IF(E44=G49,4))))</f>
        <v>2</v>
      </c>
      <c r="F48" s="104">
        <f>IF(F44=D49,1,IF(F44=E49,2,IF(F44=F49,3,IF(F44=G49,4))))</f>
        <v>4</v>
      </c>
      <c r="G48" s="105">
        <f>IF(G44=D49,1,IF(G44=E49,2,IF(G44=F49,3,IF(G44=G49,4))))</f>
        <v>3</v>
      </c>
      <c r="H48" s="19"/>
      <c r="I48" s="19"/>
      <c r="J48" s="19"/>
      <c r="K48" s="19"/>
      <c r="L48" s="19"/>
      <c r="M48" s="19"/>
      <c r="N48" s="19"/>
      <c r="O48" s="19"/>
    </row>
    <row r="49" spans="3:15" x14ac:dyDescent="0.2">
      <c r="C49" s="34"/>
      <c r="D49" s="95">
        <f>SMALL(D44:G44,1)</f>
        <v>0.16</v>
      </c>
      <c r="E49" s="95">
        <f>SMALL(D44:G44,2)</f>
        <v>0.16666666666666669</v>
      </c>
      <c r="F49" s="95">
        <f>SMALL(D44:G44,3)</f>
        <v>0.32</v>
      </c>
      <c r="G49" s="95">
        <f>SMALL(D44:G44,4)</f>
        <v>0.35333333333333333</v>
      </c>
      <c r="H49" s="19"/>
      <c r="I49" s="19"/>
      <c r="J49" s="19"/>
      <c r="K49" s="19"/>
      <c r="L49" s="19"/>
      <c r="M49" s="19"/>
      <c r="N49" s="19"/>
      <c r="O49" s="19"/>
    </row>
    <row r="50" spans="3:15" x14ac:dyDescent="0.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6" spans="3:15" x14ac:dyDescent="0.2"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3:15" x14ac:dyDescent="0.2"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3:15" x14ac:dyDescent="0.2"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3:15" x14ac:dyDescent="0.2"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3:15" x14ac:dyDescent="0.2"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3:15" x14ac:dyDescent="0.2"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3:15" x14ac:dyDescent="0.2"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3:15" x14ac:dyDescent="0.2"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3:15" x14ac:dyDescent="0.2"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3:14" x14ac:dyDescent="0.2"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3:14" x14ac:dyDescent="0.2"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3:14" x14ac:dyDescent="0.2"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3:14" x14ac:dyDescent="0.2"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3:14" x14ac:dyDescent="0.2"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</row>
    <row r="70" spans="3:14" x14ac:dyDescent="0.2"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</row>
    <row r="71" spans="3:14" x14ac:dyDescent="0.2">
      <c r="C71" s="35"/>
      <c r="D71" s="154"/>
      <c r="E71" s="35"/>
      <c r="F71" s="35"/>
      <c r="G71" s="35"/>
      <c r="H71" s="35"/>
      <c r="I71" s="35"/>
      <c r="J71" s="35"/>
      <c r="K71" s="35"/>
      <c r="L71" s="35"/>
      <c r="M71" s="35"/>
      <c r="N71" s="35"/>
    </row>
    <row r="72" spans="3:14" x14ac:dyDescent="0.2">
      <c r="C72" s="154"/>
      <c r="D72" s="42"/>
      <c r="E72" s="42"/>
      <c r="F72" s="42"/>
      <c r="G72" s="42"/>
      <c r="H72" s="35"/>
      <c r="I72" s="35"/>
      <c r="J72" s="35"/>
      <c r="K72" s="35"/>
      <c r="L72" s="35"/>
      <c r="M72" s="35"/>
      <c r="N72" s="35"/>
    </row>
    <row r="73" spans="3:14" x14ac:dyDescent="0.2"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</row>
    <row r="81" spans="1:11" x14ac:dyDescent="0.2">
      <c r="A81" s="1"/>
      <c r="B81" s="1"/>
      <c r="C81" s="1"/>
      <c r="D81" s="1"/>
      <c r="E81" s="1"/>
      <c r="F81" s="1"/>
      <c r="G81" s="1"/>
      <c r="H81" s="1"/>
      <c r="I81" s="1"/>
    </row>
    <row r="82" spans="1:11" x14ac:dyDescent="0.2">
      <c r="A82" s="1"/>
      <c r="B82" s="1"/>
      <c r="C82" s="1"/>
      <c r="D82" s="1"/>
      <c r="E82" s="1"/>
      <c r="F82" s="1"/>
      <c r="G82" s="1"/>
      <c r="H82" s="1"/>
      <c r="I82" s="1"/>
    </row>
    <row r="83" spans="1:11" x14ac:dyDescent="0.2">
      <c r="A83" s="1"/>
      <c r="B83" s="1"/>
      <c r="C83" s="1"/>
      <c r="D83" s="1"/>
      <c r="E83" s="1"/>
      <c r="F83" s="1"/>
      <c r="G83" s="1"/>
      <c r="H83" s="1"/>
      <c r="I83" s="1"/>
    </row>
    <row r="84" spans="1:11" x14ac:dyDescent="0.2">
      <c r="A84" s="1"/>
      <c r="B84" s="1"/>
      <c r="C84" s="282"/>
      <c r="D84" s="282"/>
      <c r="E84" s="282"/>
      <c r="F84" s="282"/>
      <c r="G84" s="282"/>
      <c r="H84" s="1"/>
      <c r="I84" s="1"/>
    </row>
    <row r="85" spans="1:11" x14ac:dyDescent="0.2">
      <c r="A85" s="1"/>
      <c r="B85" s="1"/>
      <c r="C85" s="282"/>
      <c r="D85" s="5"/>
      <c r="E85" s="5"/>
      <c r="F85" s="5"/>
      <c r="G85" s="5"/>
      <c r="H85" s="1"/>
      <c r="I85" s="1"/>
    </row>
    <row r="86" spans="1:11" x14ac:dyDescent="0.2">
      <c r="A86" s="1"/>
      <c r="B86" s="1"/>
      <c r="C86" s="6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B87" s="1"/>
      <c r="C87" s="6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B88" s="1"/>
      <c r="C88" s="6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B89" s="1"/>
      <c r="C89" s="6"/>
      <c r="D89" s="1"/>
      <c r="E89" s="1"/>
      <c r="F89" s="1"/>
      <c r="G89" s="1"/>
      <c r="H89" s="1"/>
      <c r="I89" s="1"/>
      <c r="J89" s="1"/>
      <c r="K89" s="1"/>
    </row>
    <row r="90" spans="1:11" ht="15.75" x14ac:dyDescent="0.2">
      <c r="A90" s="1"/>
      <c r="B90" s="1"/>
      <c r="C90" s="6"/>
      <c r="D90" s="1"/>
      <c r="E90" s="1"/>
      <c r="F90" s="1"/>
      <c r="G90" s="1"/>
      <c r="H90" s="1"/>
      <c r="I90" s="1"/>
      <c r="J90" s="4"/>
      <c r="K90" s="1"/>
    </row>
    <row r="91" spans="1:11" ht="15.75" x14ac:dyDescent="0.2">
      <c r="A91" s="1"/>
      <c r="B91" s="1"/>
      <c r="C91" s="6"/>
      <c r="D91" s="1"/>
      <c r="E91" s="1"/>
      <c r="F91" s="1"/>
      <c r="G91" s="1"/>
      <c r="H91" s="1"/>
      <c r="I91" s="1"/>
      <c r="J91" s="4"/>
      <c r="K91" s="1"/>
    </row>
    <row r="92" spans="1:11" ht="15.75" x14ac:dyDescent="0.2">
      <c r="A92" s="1"/>
      <c r="B92" s="1"/>
      <c r="C92" s="6"/>
      <c r="D92" s="1"/>
      <c r="E92" s="1"/>
      <c r="F92" s="1"/>
      <c r="G92" s="1"/>
      <c r="H92" s="1"/>
      <c r="I92" s="1"/>
      <c r="J92" s="4"/>
      <c r="K92" s="1"/>
    </row>
    <row r="93" spans="1:11" ht="15.75" x14ac:dyDescent="0.2">
      <c r="A93" s="1"/>
      <c r="B93" s="1"/>
      <c r="C93" s="6"/>
      <c r="D93" s="1"/>
      <c r="E93" s="1"/>
      <c r="F93" s="1"/>
      <c r="G93" s="1"/>
      <c r="H93" s="1"/>
      <c r="I93" s="1"/>
      <c r="J93" s="4"/>
      <c r="K93" s="1"/>
    </row>
    <row r="94" spans="1:11" ht="15.75" x14ac:dyDescent="0.2">
      <c r="A94" s="1"/>
      <c r="B94" s="1"/>
      <c r="C94" s="6"/>
      <c r="D94" s="1"/>
      <c r="E94" s="1"/>
      <c r="F94" s="1"/>
      <c r="G94" s="1"/>
      <c r="H94" s="1"/>
      <c r="I94" s="1"/>
      <c r="J94" s="4"/>
      <c r="K94" s="1"/>
    </row>
    <row r="95" spans="1:11" ht="15.75" x14ac:dyDescent="0.2">
      <c r="A95" s="1"/>
      <c r="B95" s="1"/>
      <c r="C95" s="6"/>
      <c r="D95" s="1"/>
      <c r="E95" s="1"/>
      <c r="F95" s="1"/>
      <c r="G95" s="1"/>
      <c r="H95" s="1"/>
      <c r="I95" s="1"/>
      <c r="J95" s="4"/>
      <c r="K95" s="1"/>
    </row>
    <row r="96" spans="1:11" x14ac:dyDescent="0.2">
      <c r="A96" s="1"/>
      <c r="B96" s="1"/>
      <c r="C96" s="6"/>
      <c r="D96" s="1"/>
      <c r="E96" s="1"/>
      <c r="F96" s="1"/>
      <c r="G96" s="1"/>
      <c r="H96" s="1"/>
      <c r="I96" s="1"/>
      <c r="J96" s="1"/>
      <c r="K96" s="1"/>
    </row>
    <row r="97" spans="1:11" x14ac:dyDescent="0.2">
      <c r="A97" s="1"/>
      <c r="B97" s="1"/>
      <c r="C97" s="11"/>
      <c r="D97" s="6"/>
      <c r="E97" s="6"/>
      <c r="F97" s="6"/>
      <c r="G97" s="6"/>
      <c r="H97" s="1"/>
      <c r="I97" s="1"/>
      <c r="J97" s="1"/>
      <c r="K97" s="1"/>
    </row>
    <row r="98" spans="1:11" x14ac:dyDescent="0.2">
      <c r="A98" s="1"/>
      <c r="B98" s="1"/>
      <c r="C98" s="11"/>
      <c r="D98" s="7"/>
      <c r="E98" s="7"/>
      <c r="F98" s="7"/>
      <c r="G98" s="7"/>
      <c r="H98" s="8"/>
      <c r="I98" s="1"/>
      <c r="J98" s="1"/>
      <c r="K98" s="1"/>
    </row>
    <row r="99" spans="1:11" ht="15.75" x14ac:dyDescent="0.25">
      <c r="A99" s="1"/>
      <c r="B99" s="1"/>
      <c r="C99" s="11"/>
      <c r="D99" s="21"/>
      <c r="E99" s="10"/>
      <c r="F99" s="10"/>
      <c r="G99" s="10"/>
      <c r="H99" s="1"/>
      <c r="I99" s="1"/>
      <c r="J99" s="1"/>
      <c r="K99" s="1"/>
    </row>
    <row r="100" spans="1:11" x14ac:dyDescent="0.2">
      <c r="A100" s="1"/>
      <c r="B100" s="1"/>
      <c r="C100" s="11"/>
      <c r="D100" s="6"/>
      <c r="E100" s="6"/>
      <c r="F100" s="6"/>
      <c r="G100" s="6"/>
      <c r="H100" s="1"/>
      <c r="I100" s="1"/>
    </row>
    <row r="101" spans="1:11" x14ac:dyDescent="0.2">
      <c r="A101" s="1"/>
      <c r="B101" s="1"/>
      <c r="C101" s="1"/>
      <c r="D101" s="1"/>
      <c r="E101" s="1"/>
      <c r="F101" s="1"/>
      <c r="G101" s="1"/>
      <c r="H101" s="1"/>
      <c r="I101" s="1"/>
    </row>
  </sheetData>
  <sheetProtection selectLockedCells="1" selectUnlockedCells="1"/>
  <mergeCells count="4">
    <mergeCell ref="C10:C11"/>
    <mergeCell ref="D10:G10"/>
    <mergeCell ref="C84:C85"/>
    <mergeCell ref="D84:G84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V102"/>
  <sheetViews>
    <sheetView topLeftCell="B25" workbookViewId="0">
      <selection activeCell="C5" sqref="C5"/>
    </sheetView>
  </sheetViews>
  <sheetFormatPr defaultRowHeight="12.75" x14ac:dyDescent="0.2"/>
  <cols>
    <col min="3" max="3" width="21.140625" customWidth="1"/>
    <col min="4" max="4" width="9.5703125" customWidth="1"/>
    <col min="5" max="11" width="9.5703125" bestFit="1" customWidth="1"/>
    <col min="13" max="13" width="7.140625" customWidth="1"/>
    <col min="14" max="14" width="35" customWidth="1"/>
    <col min="15" max="15" width="11.5703125" customWidth="1"/>
    <col min="16" max="17" width="9.7109375" bestFit="1" customWidth="1"/>
    <col min="18" max="18" width="9.42578125" bestFit="1" customWidth="1"/>
    <col min="19" max="20" width="9.7109375" bestFit="1" customWidth="1"/>
    <col min="21" max="21" width="9.5703125" bestFit="1" customWidth="1"/>
    <col min="22" max="22" width="11.28515625" customWidth="1"/>
  </cols>
  <sheetData>
    <row r="5" spans="3:14" x14ac:dyDescent="0.2">
      <c r="C5" s="147" t="s">
        <v>183</v>
      </c>
    </row>
    <row r="8" spans="3:14" x14ac:dyDescent="0.2">
      <c r="C8" s="56" t="s">
        <v>39</v>
      </c>
      <c r="D8" s="57"/>
      <c r="E8" s="57"/>
      <c r="F8" s="57"/>
      <c r="G8" s="57"/>
      <c r="H8" s="57"/>
      <c r="I8" s="57"/>
      <c r="J8" s="57"/>
      <c r="K8" s="57"/>
      <c r="L8" s="57"/>
    </row>
    <row r="9" spans="3:14" ht="13.5" thickBot="1" x14ac:dyDescent="0.25">
      <c r="C9" s="57"/>
      <c r="D9" s="57"/>
      <c r="E9" s="57"/>
      <c r="F9" s="57"/>
      <c r="G9" s="57"/>
      <c r="H9" s="57"/>
      <c r="I9" s="57"/>
      <c r="J9" s="57"/>
      <c r="K9" s="57"/>
      <c r="L9" s="57"/>
    </row>
    <row r="10" spans="3:14" ht="15" customHeight="1" thickBot="1" x14ac:dyDescent="0.25">
      <c r="C10" s="294" t="s">
        <v>1</v>
      </c>
      <c r="D10" s="296" t="s">
        <v>180</v>
      </c>
      <c r="E10" s="297"/>
      <c r="F10" s="297"/>
      <c r="G10" s="297"/>
      <c r="H10" s="297"/>
      <c r="I10" s="297"/>
      <c r="J10" s="297"/>
      <c r="K10" s="298"/>
      <c r="L10" s="57"/>
      <c r="M10" s="37" t="s">
        <v>2</v>
      </c>
      <c r="N10" s="45" t="s">
        <v>154</v>
      </c>
    </row>
    <row r="11" spans="3:14" ht="15" customHeight="1" thickBot="1" x14ac:dyDescent="0.25">
      <c r="C11" s="295"/>
      <c r="D11" s="49" t="s">
        <v>2</v>
      </c>
      <c r="E11" s="50" t="s">
        <v>3</v>
      </c>
      <c r="F11" s="50" t="s">
        <v>4</v>
      </c>
      <c r="G11" s="50" t="s">
        <v>5</v>
      </c>
      <c r="H11" s="50" t="s">
        <v>6</v>
      </c>
      <c r="I11" s="50" t="s">
        <v>7</v>
      </c>
      <c r="J11" s="50" t="s">
        <v>8</v>
      </c>
      <c r="K11" s="51" t="s">
        <v>9</v>
      </c>
      <c r="L11" s="57"/>
      <c r="M11" s="37" t="s">
        <v>3</v>
      </c>
      <c r="N11" s="45" t="s">
        <v>155</v>
      </c>
    </row>
    <row r="12" spans="3:14" ht="15" customHeight="1" x14ac:dyDescent="0.25">
      <c r="C12" s="58" t="s">
        <v>10</v>
      </c>
      <c r="D12" s="59">
        <v>1</v>
      </c>
      <c r="E12" s="60">
        <v>6</v>
      </c>
      <c r="F12" s="61">
        <v>2</v>
      </c>
      <c r="G12" s="60">
        <v>8</v>
      </c>
      <c r="H12" s="60">
        <v>5</v>
      </c>
      <c r="I12" s="60">
        <v>3</v>
      </c>
      <c r="J12" s="60">
        <v>6</v>
      </c>
      <c r="K12" s="62">
        <v>7</v>
      </c>
      <c r="L12" s="57"/>
      <c r="M12" s="37" t="s">
        <v>4</v>
      </c>
      <c r="N12" s="45" t="s">
        <v>156</v>
      </c>
    </row>
    <row r="13" spans="3:14" ht="15" customHeight="1" x14ac:dyDescent="0.2">
      <c r="C13" s="58" t="s">
        <v>11</v>
      </c>
      <c r="D13" s="63">
        <v>2</v>
      </c>
      <c r="E13" s="64">
        <v>7</v>
      </c>
      <c r="F13" s="64">
        <v>4</v>
      </c>
      <c r="G13" s="64">
        <v>8</v>
      </c>
      <c r="H13" s="64">
        <v>3</v>
      </c>
      <c r="I13" s="64">
        <v>1</v>
      </c>
      <c r="J13" s="64">
        <v>6</v>
      </c>
      <c r="K13" s="65">
        <v>5</v>
      </c>
      <c r="L13" s="57"/>
      <c r="M13" s="37" t="s">
        <v>5</v>
      </c>
      <c r="N13" s="45" t="s">
        <v>157</v>
      </c>
    </row>
    <row r="14" spans="3:14" ht="15" customHeight="1" x14ac:dyDescent="0.2">
      <c r="C14" s="58" t="s">
        <v>12</v>
      </c>
      <c r="D14" s="66">
        <v>1</v>
      </c>
      <c r="E14" s="67">
        <v>5</v>
      </c>
      <c r="F14" s="67">
        <v>3</v>
      </c>
      <c r="G14" s="67">
        <v>8</v>
      </c>
      <c r="H14" s="67">
        <v>4</v>
      </c>
      <c r="I14" s="67">
        <v>2</v>
      </c>
      <c r="J14" s="67">
        <v>6</v>
      </c>
      <c r="K14" s="68">
        <v>7</v>
      </c>
      <c r="L14" s="57"/>
      <c r="M14" s="37" t="s">
        <v>6</v>
      </c>
      <c r="N14" s="45" t="s">
        <v>56</v>
      </c>
    </row>
    <row r="15" spans="3:14" ht="15" customHeight="1" x14ac:dyDescent="0.2">
      <c r="C15" s="58" t="s">
        <v>13</v>
      </c>
      <c r="D15" s="69">
        <v>1</v>
      </c>
      <c r="E15" s="70">
        <v>4</v>
      </c>
      <c r="F15" s="70">
        <v>3</v>
      </c>
      <c r="G15" s="70">
        <v>5</v>
      </c>
      <c r="H15" s="70">
        <v>6</v>
      </c>
      <c r="I15" s="70">
        <v>2</v>
      </c>
      <c r="J15" s="70">
        <v>7</v>
      </c>
      <c r="K15" s="71">
        <v>8</v>
      </c>
      <c r="L15" s="57"/>
      <c r="M15" s="37" t="s">
        <v>7</v>
      </c>
      <c r="N15" s="45" t="s">
        <v>158</v>
      </c>
    </row>
    <row r="16" spans="3:14" ht="15" customHeight="1" x14ac:dyDescent="0.2">
      <c r="C16" s="58" t="s">
        <v>14</v>
      </c>
      <c r="D16" s="69">
        <v>1</v>
      </c>
      <c r="E16" s="70">
        <v>7</v>
      </c>
      <c r="F16" s="70">
        <v>2</v>
      </c>
      <c r="G16" s="70">
        <v>6</v>
      </c>
      <c r="H16" s="70">
        <v>5</v>
      </c>
      <c r="I16" s="70">
        <v>4</v>
      </c>
      <c r="J16" s="70">
        <v>8</v>
      </c>
      <c r="K16" s="71">
        <v>3</v>
      </c>
      <c r="L16" s="57"/>
      <c r="M16" s="37" t="s">
        <v>8</v>
      </c>
      <c r="N16" s="45" t="s">
        <v>159</v>
      </c>
    </row>
    <row r="17" spans="3:22" ht="15" customHeight="1" x14ac:dyDescent="0.2">
      <c r="C17" s="58" t="s">
        <v>15</v>
      </c>
      <c r="D17" s="69">
        <v>1</v>
      </c>
      <c r="E17" s="70">
        <v>8</v>
      </c>
      <c r="F17" s="70">
        <v>2</v>
      </c>
      <c r="G17" s="70">
        <v>3</v>
      </c>
      <c r="H17" s="70">
        <v>6</v>
      </c>
      <c r="I17" s="70">
        <v>4</v>
      </c>
      <c r="J17" s="70">
        <v>7</v>
      </c>
      <c r="K17" s="71">
        <v>5</v>
      </c>
      <c r="L17" s="57"/>
      <c r="M17" s="37" t="s">
        <v>9</v>
      </c>
      <c r="N17" s="45" t="s">
        <v>160</v>
      </c>
    </row>
    <row r="18" spans="3:22" ht="15" customHeight="1" x14ac:dyDescent="0.25">
      <c r="C18" s="58" t="s">
        <v>16</v>
      </c>
      <c r="D18" s="72">
        <v>1</v>
      </c>
      <c r="E18" s="73">
        <v>8</v>
      </c>
      <c r="F18" s="73">
        <v>2</v>
      </c>
      <c r="G18" s="73">
        <v>4</v>
      </c>
      <c r="H18" s="73">
        <v>3</v>
      </c>
      <c r="I18" s="73">
        <v>5</v>
      </c>
      <c r="J18" s="73">
        <v>7</v>
      </c>
      <c r="K18" s="74">
        <v>6</v>
      </c>
      <c r="L18" s="57"/>
      <c r="N18" s="3"/>
    </row>
    <row r="19" spans="3:22" ht="15" customHeight="1" x14ac:dyDescent="0.2">
      <c r="C19" s="58" t="s">
        <v>17</v>
      </c>
      <c r="D19" s="75">
        <v>1</v>
      </c>
      <c r="E19" s="76">
        <v>6</v>
      </c>
      <c r="F19" s="76">
        <v>2</v>
      </c>
      <c r="G19" s="76">
        <v>4</v>
      </c>
      <c r="H19" s="76">
        <v>5</v>
      </c>
      <c r="I19" s="76">
        <v>3</v>
      </c>
      <c r="J19" s="76">
        <v>8</v>
      </c>
      <c r="K19" s="77">
        <v>7</v>
      </c>
      <c r="L19" s="57"/>
      <c r="N19" s="43" t="s">
        <v>179</v>
      </c>
    </row>
    <row r="20" spans="3:22" ht="15" customHeight="1" x14ac:dyDescent="0.2">
      <c r="C20" s="58" t="s">
        <v>18</v>
      </c>
      <c r="D20" s="69">
        <v>2</v>
      </c>
      <c r="E20" s="70">
        <v>6</v>
      </c>
      <c r="F20" s="70">
        <v>1</v>
      </c>
      <c r="G20" s="70">
        <v>3</v>
      </c>
      <c r="H20" s="70">
        <v>5</v>
      </c>
      <c r="I20" s="70">
        <v>4</v>
      </c>
      <c r="J20" s="70">
        <v>7</v>
      </c>
      <c r="K20" s="71">
        <v>8</v>
      </c>
      <c r="L20" s="57"/>
      <c r="N20" s="33"/>
    </row>
    <row r="21" spans="3:22" ht="15" customHeight="1" x14ac:dyDescent="0.2">
      <c r="C21" s="58" t="s">
        <v>19</v>
      </c>
      <c r="D21" s="69">
        <v>1</v>
      </c>
      <c r="E21" s="70">
        <v>4</v>
      </c>
      <c r="F21" s="70">
        <v>3</v>
      </c>
      <c r="G21" s="70">
        <v>6</v>
      </c>
      <c r="H21" s="70">
        <v>5</v>
      </c>
      <c r="I21" s="70">
        <v>2</v>
      </c>
      <c r="J21" s="70">
        <v>7</v>
      </c>
      <c r="K21" s="71">
        <v>8</v>
      </c>
      <c r="L21" s="57"/>
      <c r="N21" s="19" t="s">
        <v>152</v>
      </c>
      <c r="O21" s="54">
        <f>L42/8</f>
        <v>135.25</v>
      </c>
      <c r="P21" s="19"/>
      <c r="Q21" s="19"/>
      <c r="R21" s="19"/>
      <c r="S21" s="19"/>
      <c r="T21" s="19"/>
      <c r="U21" s="19"/>
      <c r="V21" s="19"/>
    </row>
    <row r="22" spans="3:22" ht="15" customHeight="1" x14ac:dyDescent="0.2">
      <c r="C22" s="58" t="s">
        <v>41</v>
      </c>
      <c r="D22" s="69">
        <v>2</v>
      </c>
      <c r="E22" s="70">
        <v>3</v>
      </c>
      <c r="F22" s="70">
        <v>6</v>
      </c>
      <c r="G22" s="70">
        <v>7</v>
      </c>
      <c r="H22" s="70">
        <v>5</v>
      </c>
      <c r="I22" s="70">
        <v>1</v>
      </c>
      <c r="J22" s="70">
        <v>4</v>
      </c>
      <c r="K22" s="71">
        <v>8</v>
      </c>
      <c r="L22" s="57"/>
      <c r="N22" s="33"/>
      <c r="O22" s="54">
        <f>D42-O21</f>
        <v>-91.25</v>
      </c>
      <c r="P22" s="54">
        <f>E42-O21</f>
        <v>21.75</v>
      </c>
      <c r="Q22" s="54">
        <f>F42-O21</f>
        <v>-46.25</v>
      </c>
      <c r="R22" s="54">
        <f>G42-O21</f>
        <v>20.75</v>
      </c>
      <c r="S22" s="54">
        <f>H42-O21</f>
        <v>-12.25</v>
      </c>
      <c r="T22" s="54">
        <f>I42-O21</f>
        <v>-28.25</v>
      </c>
      <c r="U22" s="54">
        <f>J42-O21</f>
        <v>69.75</v>
      </c>
      <c r="V22" s="54">
        <f>K42-O21</f>
        <v>65.75</v>
      </c>
    </row>
    <row r="23" spans="3:22" ht="15" customHeight="1" x14ac:dyDescent="0.2">
      <c r="C23" s="58" t="s">
        <v>42</v>
      </c>
      <c r="D23" s="69">
        <v>1</v>
      </c>
      <c r="E23" s="70">
        <v>2</v>
      </c>
      <c r="F23" s="70">
        <v>3</v>
      </c>
      <c r="G23" s="70">
        <v>5</v>
      </c>
      <c r="H23" s="70">
        <v>4</v>
      </c>
      <c r="I23" s="70">
        <v>6</v>
      </c>
      <c r="J23" s="70">
        <v>7</v>
      </c>
      <c r="K23" s="71">
        <v>8</v>
      </c>
      <c r="L23" s="57"/>
      <c r="N23" s="33"/>
      <c r="O23" s="54">
        <f t="shared" ref="O23:V23" si="0">O22*O22</f>
        <v>8326.5625</v>
      </c>
      <c r="P23" s="54">
        <f t="shared" si="0"/>
        <v>473.0625</v>
      </c>
      <c r="Q23" s="54">
        <f t="shared" si="0"/>
        <v>2139.0625</v>
      </c>
      <c r="R23" s="54">
        <f t="shared" si="0"/>
        <v>430.5625</v>
      </c>
      <c r="S23" s="54">
        <f t="shared" si="0"/>
        <v>150.0625</v>
      </c>
      <c r="T23" s="54">
        <f t="shared" si="0"/>
        <v>798.0625</v>
      </c>
      <c r="U23" s="54">
        <f t="shared" si="0"/>
        <v>4865.0625</v>
      </c>
      <c r="V23" s="54">
        <f t="shared" si="0"/>
        <v>4323.0625</v>
      </c>
    </row>
    <row r="24" spans="3:22" ht="15" customHeight="1" x14ac:dyDescent="0.2">
      <c r="C24" s="58" t="s">
        <v>43</v>
      </c>
      <c r="D24" s="75">
        <v>2</v>
      </c>
      <c r="E24" s="76">
        <v>3</v>
      </c>
      <c r="F24" s="76">
        <v>1</v>
      </c>
      <c r="G24" s="76">
        <v>6</v>
      </c>
      <c r="H24" s="76">
        <v>8</v>
      </c>
      <c r="I24" s="76">
        <v>7</v>
      </c>
      <c r="J24" s="76">
        <v>4</v>
      </c>
      <c r="K24" s="77">
        <v>5</v>
      </c>
      <c r="L24" s="57"/>
      <c r="N24" s="44" t="s">
        <v>0</v>
      </c>
      <c r="O24" s="54">
        <f>SUM(O23:V23)</f>
        <v>21505.5</v>
      </c>
      <c r="P24" s="19"/>
      <c r="Q24" s="19"/>
      <c r="R24" s="19"/>
      <c r="S24" s="19"/>
      <c r="T24" s="19"/>
      <c r="U24" s="19"/>
      <c r="V24" s="19"/>
    </row>
    <row r="25" spans="3:22" ht="15" customHeight="1" x14ac:dyDescent="0.2">
      <c r="C25" s="58" t="s">
        <v>44</v>
      </c>
      <c r="D25" s="69">
        <v>1</v>
      </c>
      <c r="E25" s="70">
        <v>3</v>
      </c>
      <c r="F25" s="70">
        <v>2</v>
      </c>
      <c r="G25" s="70">
        <v>5</v>
      </c>
      <c r="H25" s="70">
        <v>4</v>
      </c>
      <c r="I25" s="70">
        <v>6</v>
      </c>
      <c r="J25" s="70">
        <v>8</v>
      </c>
      <c r="K25" s="71">
        <v>7</v>
      </c>
      <c r="L25" s="57"/>
      <c r="N25" s="43" t="s">
        <v>178</v>
      </c>
      <c r="O25" s="248">
        <f>12*O24</f>
        <v>258066</v>
      </c>
      <c r="P25" s="19"/>
      <c r="Q25" s="19"/>
      <c r="R25" s="19"/>
      <c r="S25" s="19"/>
      <c r="T25" s="19"/>
      <c r="U25" s="19"/>
      <c r="V25" s="19"/>
    </row>
    <row r="26" spans="3:22" ht="15" customHeight="1" x14ac:dyDescent="0.2">
      <c r="C26" s="78" t="s">
        <v>45</v>
      </c>
      <c r="D26" s="69">
        <v>3</v>
      </c>
      <c r="E26" s="70">
        <v>2</v>
      </c>
      <c r="F26" s="70">
        <v>1</v>
      </c>
      <c r="G26" s="79">
        <v>4</v>
      </c>
      <c r="H26" s="79">
        <v>5</v>
      </c>
      <c r="I26" s="70">
        <v>7</v>
      </c>
      <c r="J26" s="70">
        <v>8</v>
      </c>
      <c r="K26" s="71">
        <v>6</v>
      </c>
      <c r="L26" s="57"/>
      <c r="N26" s="33"/>
      <c r="O26" s="248">
        <v>900</v>
      </c>
      <c r="P26" s="19"/>
      <c r="Q26" s="19"/>
      <c r="R26" s="19"/>
      <c r="S26" s="19"/>
      <c r="T26" s="19"/>
      <c r="U26" s="19"/>
      <c r="V26" s="19"/>
    </row>
    <row r="27" spans="3:22" s="33" customFormat="1" ht="15" customHeight="1" x14ac:dyDescent="0.2">
      <c r="C27" s="80" t="s">
        <v>124</v>
      </c>
      <c r="D27" s="81">
        <v>2</v>
      </c>
      <c r="E27" s="82">
        <v>4</v>
      </c>
      <c r="F27" s="82">
        <v>1</v>
      </c>
      <c r="G27" s="83">
        <v>8</v>
      </c>
      <c r="H27" s="83">
        <v>7</v>
      </c>
      <c r="I27" s="82">
        <v>3</v>
      </c>
      <c r="J27" s="82">
        <v>6</v>
      </c>
      <c r="K27" s="84">
        <v>5</v>
      </c>
      <c r="L27" s="57"/>
      <c r="O27" s="248">
        <f>O26*504</f>
        <v>453600</v>
      </c>
      <c r="P27" s="19"/>
      <c r="Q27" s="19"/>
      <c r="R27" s="19"/>
      <c r="S27" s="19"/>
      <c r="T27" s="19"/>
      <c r="U27" s="19"/>
      <c r="V27" s="19"/>
    </row>
    <row r="28" spans="3:22" s="33" customFormat="1" ht="15" customHeight="1" x14ac:dyDescent="0.2">
      <c r="C28" s="80" t="s">
        <v>125</v>
      </c>
      <c r="D28" s="81">
        <v>1</v>
      </c>
      <c r="E28" s="82">
        <v>5</v>
      </c>
      <c r="F28" s="82">
        <v>2</v>
      </c>
      <c r="G28" s="83">
        <v>8</v>
      </c>
      <c r="H28" s="83">
        <v>4</v>
      </c>
      <c r="I28" s="82">
        <v>3</v>
      </c>
      <c r="J28" s="82">
        <v>6</v>
      </c>
      <c r="K28" s="84">
        <v>7</v>
      </c>
      <c r="L28" s="57"/>
      <c r="N28" s="44" t="s">
        <v>40</v>
      </c>
      <c r="O28" s="54">
        <f>O25/O27</f>
        <v>0.56892857142857145</v>
      </c>
      <c r="P28" s="19"/>
      <c r="Q28" s="19"/>
      <c r="R28" s="19"/>
      <c r="S28" s="19"/>
      <c r="T28" s="19"/>
      <c r="U28" s="19"/>
      <c r="V28" s="19"/>
    </row>
    <row r="29" spans="3:22" s="33" customFormat="1" ht="15" customHeight="1" x14ac:dyDescent="0.2">
      <c r="C29" s="80" t="s">
        <v>126</v>
      </c>
      <c r="D29" s="81">
        <v>3</v>
      </c>
      <c r="E29" s="82">
        <v>8</v>
      </c>
      <c r="F29" s="82">
        <v>5</v>
      </c>
      <c r="G29" s="83">
        <v>2</v>
      </c>
      <c r="H29" s="83">
        <v>1</v>
      </c>
      <c r="I29" s="82">
        <v>4</v>
      </c>
      <c r="J29" s="82">
        <v>6</v>
      </c>
      <c r="K29" s="84">
        <v>7</v>
      </c>
      <c r="L29" s="57"/>
      <c r="N29" s="39" t="s">
        <v>185</v>
      </c>
      <c r="O29" s="54">
        <f>O25/2160</f>
        <v>119.47499999999999</v>
      </c>
      <c r="P29" s="19"/>
      <c r="Q29" s="19"/>
      <c r="R29" s="19"/>
      <c r="S29" s="19"/>
      <c r="T29" s="19"/>
      <c r="U29" s="19"/>
      <c r="V29" s="19"/>
    </row>
    <row r="30" spans="3:22" s="33" customFormat="1" ht="15" customHeight="1" x14ac:dyDescent="0.25">
      <c r="C30" s="80" t="s">
        <v>127</v>
      </c>
      <c r="D30" s="81">
        <v>1</v>
      </c>
      <c r="E30" s="82">
        <v>3</v>
      </c>
      <c r="F30" s="82">
        <v>2</v>
      </c>
      <c r="G30" s="83">
        <v>8</v>
      </c>
      <c r="H30" s="83">
        <v>4</v>
      </c>
      <c r="I30" s="82">
        <v>5</v>
      </c>
      <c r="J30" s="82">
        <v>7</v>
      </c>
      <c r="K30" s="84">
        <v>6</v>
      </c>
      <c r="L30" s="57"/>
      <c r="N30" s="3"/>
      <c r="O30" s="19"/>
      <c r="P30" s="19"/>
      <c r="Q30" s="19"/>
      <c r="R30" s="19"/>
      <c r="S30" s="19"/>
      <c r="T30" s="19"/>
      <c r="U30" s="19"/>
      <c r="V30" s="19"/>
    </row>
    <row r="31" spans="3:22" s="33" customFormat="1" ht="15" customHeight="1" x14ac:dyDescent="0.25">
      <c r="C31" s="80" t="s">
        <v>128</v>
      </c>
      <c r="D31" s="81">
        <v>2</v>
      </c>
      <c r="E31" s="82">
        <v>1</v>
      </c>
      <c r="F31" s="82">
        <v>3</v>
      </c>
      <c r="G31" s="83">
        <v>6</v>
      </c>
      <c r="H31" s="83">
        <v>5</v>
      </c>
      <c r="I31" s="82">
        <v>4</v>
      </c>
      <c r="J31" s="82">
        <v>7</v>
      </c>
      <c r="K31" s="84">
        <v>8</v>
      </c>
      <c r="L31" s="57"/>
      <c r="N31" s="3"/>
      <c r="O31" s="19"/>
      <c r="P31" s="19"/>
      <c r="Q31" s="19"/>
      <c r="R31" s="19"/>
      <c r="S31" s="19"/>
      <c r="T31" s="19"/>
      <c r="U31" s="19"/>
      <c r="V31" s="19"/>
    </row>
    <row r="32" spans="3:22" s="33" customFormat="1" ht="15" customHeight="1" x14ac:dyDescent="0.25">
      <c r="C32" s="80" t="s">
        <v>129</v>
      </c>
      <c r="D32" s="81">
        <v>1</v>
      </c>
      <c r="E32" s="82">
        <v>5</v>
      </c>
      <c r="F32" s="82">
        <v>6</v>
      </c>
      <c r="G32" s="83">
        <v>4</v>
      </c>
      <c r="H32" s="83">
        <v>2</v>
      </c>
      <c r="I32" s="82">
        <v>3</v>
      </c>
      <c r="J32" s="82">
        <v>8</v>
      </c>
      <c r="K32" s="84">
        <v>7</v>
      </c>
      <c r="L32" s="57"/>
      <c r="N32" s="3"/>
    </row>
    <row r="33" spans="3:14" s="33" customFormat="1" ht="15" customHeight="1" x14ac:dyDescent="0.25">
      <c r="C33" s="80" t="s">
        <v>130</v>
      </c>
      <c r="D33" s="81">
        <v>1</v>
      </c>
      <c r="E33" s="82">
        <v>5</v>
      </c>
      <c r="F33" s="82">
        <v>3</v>
      </c>
      <c r="G33" s="83">
        <v>4</v>
      </c>
      <c r="H33" s="83">
        <v>6</v>
      </c>
      <c r="I33" s="82">
        <v>2</v>
      </c>
      <c r="J33" s="82">
        <v>8</v>
      </c>
      <c r="K33" s="84">
        <v>7</v>
      </c>
      <c r="L33" s="57"/>
      <c r="N33" s="3"/>
    </row>
    <row r="34" spans="3:14" s="33" customFormat="1" ht="15" customHeight="1" x14ac:dyDescent="0.25">
      <c r="C34" s="80" t="s">
        <v>131</v>
      </c>
      <c r="D34" s="81">
        <v>3</v>
      </c>
      <c r="E34" s="82">
        <v>8</v>
      </c>
      <c r="F34" s="82">
        <v>5</v>
      </c>
      <c r="G34" s="83">
        <v>1</v>
      </c>
      <c r="H34" s="83">
        <v>2</v>
      </c>
      <c r="I34" s="82">
        <v>4</v>
      </c>
      <c r="J34" s="82">
        <v>6</v>
      </c>
      <c r="K34" s="84">
        <v>7</v>
      </c>
      <c r="L34" s="57"/>
      <c r="N34" s="3"/>
    </row>
    <row r="35" spans="3:14" s="33" customFormat="1" ht="15" customHeight="1" x14ac:dyDescent="0.25">
      <c r="C35" s="80" t="s">
        <v>132</v>
      </c>
      <c r="D35" s="81">
        <v>1</v>
      </c>
      <c r="E35" s="82">
        <v>6</v>
      </c>
      <c r="F35" s="82">
        <v>5</v>
      </c>
      <c r="G35" s="83">
        <v>2</v>
      </c>
      <c r="H35" s="83">
        <v>3</v>
      </c>
      <c r="I35" s="82">
        <v>4</v>
      </c>
      <c r="J35" s="82">
        <v>8</v>
      </c>
      <c r="K35" s="84">
        <v>7</v>
      </c>
      <c r="L35" s="57"/>
      <c r="N35" s="3"/>
    </row>
    <row r="36" spans="3:14" s="33" customFormat="1" ht="15" customHeight="1" x14ac:dyDescent="0.25">
      <c r="C36" s="80" t="s">
        <v>133</v>
      </c>
      <c r="D36" s="81">
        <v>1</v>
      </c>
      <c r="E36" s="82">
        <v>6</v>
      </c>
      <c r="F36" s="82">
        <v>5</v>
      </c>
      <c r="G36" s="83">
        <v>4</v>
      </c>
      <c r="H36" s="83">
        <v>2</v>
      </c>
      <c r="I36" s="82">
        <v>3</v>
      </c>
      <c r="J36" s="82">
        <v>8</v>
      </c>
      <c r="K36" s="84">
        <v>7</v>
      </c>
      <c r="L36" s="57"/>
      <c r="N36" s="3"/>
    </row>
    <row r="37" spans="3:14" s="33" customFormat="1" ht="15" customHeight="1" x14ac:dyDescent="0.25">
      <c r="C37" s="80" t="s">
        <v>134</v>
      </c>
      <c r="D37" s="81">
        <v>1</v>
      </c>
      <c r="E37" s="82">
        <v>5</v>
      </c>
      <c r="F37" s="82">
        <v>4</v>
      </c>
      <c r="G37" s="83">
        <v>7</v>
      </c>
      <c r="H37" s="83">
        <v>2</v>
      </c>
      <c r="I37" s="82">
        <v>3</v>
      </c>
      <c r="J37" s="82">
        <v>6</v>
      </c>
      <c r="K37" s="84">
        <v>8</v>
      </c>
      <c r="L37" s="57"/>
      <c r="N37" s="3"/>
    </row>
    <row r="38" spans="3:14" s="33" customFormat="1" ht="15" customHeight="1" x14ac:dyDescent="0.25">
      <c r="C38" s="80" t="s">
        <v>135</v>
      </c>
      <c r="D38" s="81">
        <v>1</v>
      </c>
      <c r="E38" s="82">
        <v>8</v>
      </c>
      <c r="F38" s="82">
        <v>2</v>
      </c>
      <c r="G38" s="83">
        <v>5</v>
      </c>
      <c r="H38" s="83">
        <v>4</v>
      </c>
      <c r="I38" s="82">
        <v>3</v>
      </c>
      <c r="J38" s="82">
        <v>7</v>
      </c>
      <c r="K38" s="84">
        <v>6</v>
      </c>
      <c r="L38" s="57"/>
      <c r="N38" s="3"/>
    </row>
    <row r="39" spans="3:14" s="33" customFormat="1" ht="15" customHeight="1" x14ac:dyDescent="0.25">
      <c r="C39" s="80" t="s">
        <v>136</v>
      </c>
      <c r="D39" s="81">
        <v>2</v>
      </c>
      <c r="E39" s="82">
        <v>6</v>
      </c>
      <c r="F39" s="82">
        <v>3</v>
      </c>
      <c r="G39" s="83">
        <v>4</v>
      </c>
      <c r="H39" s="83">
        <v>1</v>
      </c>
      <c r="I39" s="82">
        <v>5</v>
      </c>
      <c r="J39" s="82">
        <v>7</v>
      </c>
      <c r="K39" s="84">
        <v>8</v>
      </c>
      <c r="L39" s="57"/>
      <c r="N39" s="3"/>
    </row>
    <row r="40" spans="3:14" s="33" customFormat="1" ht="15" customHeight="1" x14ac:dyDescent="0.25">
      <c r="C40" s="80" t="s">
        <v>137</v>
      </c>
      <c r="D40" s="81">
        <v>2</v>
      </c>
      <c r="E40" s="82">
        <v>5</v>
      </c>
      <c r="F40" s="82">
        <v>4</v>
      </c>
      <c r="G40" s="83">
        <v>6</v>
      </c>
      <c r="H40" s="83">
        <v>3</v>
      </c>
      <c r="I40" s="82">
        <v>1</v>
      </c>
      <c r="J40" s="82">
        <v>8</v>
      </c>
      <c r="K40" s="84">
        <v>7</v>
      </c>
      <c r="L40" s="57"/>
      <c r="N40" s="3"/>
    </row>
    <row r="41" spans="3:14" s="33" customFormat="1" ht="15" customHeight="1" thickBot="1" x14ac:dyDescent="0.3">
      <c r="C41" s="85" t="s">
        <v>138</v>
      </c>
      <c r="D41" s="81">
        <v>1</v>
      </c>
      <c r="E41" s="82">
        <v>8</v>
      </c>
      <c r="F41" s="82">
        <v>2</v>
      </c>
      <c r="G41" s="83">
        <v>5</v>
      </c>
      <c r="H41" s="83">
        <v>4</v>
      </c>
      <c r="I41" s="82">
        <v>3</v>
      </c>
      <c r="J41" s="82">
        <v>7</v>
      </c>
      <c r="K41" s="84">
        <v>6</v>
      </c>
      <c r="L41" s="57"/>
      <c r="N41" s="3"/>
    </row>
    <row r="42" spans="3:14" ht="15" customHeight="1" x14ac:dyDescent="0.25">
      <c r="C42" s="100" t="s">
        <v>20</v>
      </c>
      <c r="D42" s="86">
        <f t="shared" ref="D42" si="1">SUM(D12:D41)</f>
        <v>44</v>
      </c>
      <c r="E42" s="87">
        <f t="shared" ref="E42" si="2">SUM(E12:E41)</f>
        <v>157</v>
      </c>
      <c r="F42" s="87">
        <f t="shared" ref="F42" si="3">SUM(F12:F41)</f>
        <v>89</v>
      </c>
      <c r="G42" s="87">
        <f t="shared" ref="G42" si="4">SUM(G12:G41)</f>
        <v>156</v>
      </c>
      <c r="H42" s="87">
        <f t="shared" ref="H42" si="5">SUM(H12:H41)</f>
        <v>123</v>
      </c>
      <c r="I42" s="87">
        <f t="shared" ref="I42" si="6">SUM(I12:I41)</f>
        <v>107</v>
      </c>
      <c r="J42" s="87">
        <f t="shared" ref="J42" si="7">SUM(J12:J41)</f>
        <v>205</v>
      </c>
      <c r="K42" s="88">
        <f t="shared" ref="K42" si="8">SUM(K12:K41)</f>
        <v>201</v>
      </c>
      <c r="L42" s="89">
        <f>SUM(D42:K42)</f>
        <v>1082</v>
      </c>
      <c r="N42" s="3"/>
    </row>
    <row r="43" spans="3:14" x14ac:dyDescent="0.2">
      <c r="C43" s="101" t="s">
        <v>21</v>
      </c>
      <c r="D43" s="91">
        <f>(D42/30)</f>
        <v>1.4666666666666666</v>
      </c>
      <c r="E43" s="92">
        <f t="shared" ref="E43:K43" si="9">(E42/30)</f>
        <v>5.2333333333333334</v>
      </c>
      <c r="F43" s="92">
        <f t="shared" si="9"/>
        <v>2.9666666666666668</v>
      </c>
      <c r="G43" s="92">
        <f t="shared" si="9"/>
        <v>5.2</v>
      </c>
      <c r="H43" s="92">
        <f t="shared" si="9"/>
        <v>4.0999999999999996</v>
      </c>
      <c r="I43" s="92">
        <f t="shared" si="9"/>
        <v>3.5666666666666669</v>
      </c>
      <c r="J43" s="92">
        <f t="shared" si="9"/>
        <v>6.833333333333333</v>
      </c>
      <c r="K43" s="93">
        <f t="shared" si="9"/>
        <v>6.7</v>
      </c>
      <c r="L43" s="94">
        <f>SUM(D43:K43)</f>
        <v>36.06666666666667</v>
      </c>
      <c r="N43" s="1"/>
    </row>
    <row r="44" spans="3:14" x14ac:dyDescent="0.2">
      <c r="C44" s="116" t="s">
        <v>184</v>
      </c>
      <c r="D44" s="91">
        <f>(D43/L43)</f>
        <v>4.0665434380776334E-2</v>
      </c>
      <c r="E44" s="92">
        <f>(E43/L43)</f>
        <v>0.14510166358595192</v>
      </c>
      <c r="F44" s="92">
        <f>(F43/L43)</f>
        <v>8.2255083179297597E-2</v>
      </c>
      <c r="G44" s="92">
        <f>(G43/L43)</f>
        <v>0.14417744916820702</v>
      </c>
      <c r="H44" s="92">
        <f>(H43/L43)</f>
        <v>0.11367837338262475</v>
      </c>
      <c r="I44" s="92">
        <f>(I43/L43)</f>
        <v>9.8890942698706102E-2</v>
      </c>
      <c r="J44" s="92">
        <f>(J43/L43)</f>
        <v>0.18946395563770793</v>
      </c>
      <c r="K44" s="93">
        <f>(K43/L43)</f>
        <v>0.18576709796672827</v>
      </c>
      <c r="L44" s="95"/>
      <c r="N44" s="1"/>
    </row>
    <row r="45" spans="3:14" x14ac:dyDescent="0.2">
      <c r="C45" s="101"/>
      <c r="D45" s="91">
        <f>(1-D44)</f>
        <v>0.9593345656192237</v>
      </c>
      <c r="E45" s="92">
        <f>(1-E44)</f>
        <v>0.85489833641404811</v>
      </c>
      <c r="F45" s="92">
        <f t="shared" ref="F45:K45" si="10">(1-F44)</f>
        <v>0.91774491682070236</v>
      </c>
      <c r="G45" s="92">
        <f t="shared" si="10"/>
        <v>0.85582255083179293</v>
      </c>
      <c r="H45" s="92">
        <f t="shared" si="10"/>
        <v>0.88632162661737524</v>
      </c>
      <c r="I45" s="92">
        <f t="shared" si="10"/>
        <v>0.90110905730129387</v>
      </c>
      <c r="J45" s="92">
        <f t="shared" si="10"/>
        <v>0.8105360443622921</v>
      </c>
      <c r="K45" s="93">
        <f t="shared" si="10"/>
        <v>0.8142329020332717</v>
      </c>
      <c r="L45" s="95">
        <f>SUM(D45:K45)</f>
        <v>7</v>
      </c>
      <c r="M45" s="9"/>
      <c r="N45" s="1"/>
    </row>
    <row r="46" spans="3:14" x14ac:dyDescent="0.2">
      <c r="C46" s="101" t="s">
        <v>161</v>
      </c>
      <c r="D46" s="91">
        <f>(D45/L45)</f>
        <v>0.13704779508846052</v>
      </c>
      <c r="E46" s="92">
        <f>(E45/L45)</f>
        <v>0.12212833377343545</v>
      </c>
      <c r="F46" s="92">
        <f>(F45/L45)</f>
        <v>0.13110641668867176</v>
      </c>
      <c r="G46" s="92">
        <f>(G45/L45)</f>
        <v>0.12226036440454184</v>
      </c>
      <c r="H46" s="92">
        <f>(H45/L45)</f>
        <v>0.1266173752310536</v>
      </c>
      <c r="I46" s="92">
        <f>(I45/L45)</f>
        <v>0.12872986532875627</v>
      </c>
      <c r="J46" s="92">
        <f>(J45/L45)</f>
        <v>0.11579086348032744</v>
      </c>
      <c r="K46" s="93">
        <f>(K45/L45)</f>
        <v>0.1163189860047531</v>
      </c>
      <c r="L46" s="95">
        <f>SUM(D46:K46)</f>
        <v>0.99999999999999989</v>
      </c>
      <c r="N46" s="1"/>
    </row>
    <row r="47" spans="3:14" ht="15.75" x14ac:dyDescent="0.25">
      <c r="C47" s="101"/>
      <c r="D47" s="96"/>
      <c r="E47" s="97"/>
      <c r="F47" s="97"/>
      <c r="G47" s="97"/>
      <c r="H47" s="97"/>
      <c r="I47" s="97"/>
      <c r="J47" s="97"/>
      <c r="K47" s="98"/>
      <c r="L47" s="57"/>
    </row>
    <row r="48" spans="3:14" ht="13.5" thickBot="1" x14ac:dyDescent="0.25">
      <c r="C48" s="102" t="s">
        <v>22</v>
      </c>
      <c r="D48" s="103">
        <f>IF(D44=D49,1,IF(D44=E49,2,IF(D44=F49,3,IF(D44=G49,4,IF(D44=H49,5,IF(D44=I49,6,IF(D44=J49,7,8)))))))</f>
        <v>1</v>
      </c>
      <c r="E48" s="104">
        <f>IF(E44=D49,1,IF(E44=E49,2,IF(E44=F49,3,IF(E44=G49,4,IF(E44=H49,5,IF(E44=I49,6,IF(E44=J49,7,8)))))))</f>
        <v>6</v>
      </c>
      <c r="F48" s="104">
        <f>IF(F44=D49,1,IF(F44=E49,2,IF(F44=F49,3,IF(F44=G49,4,IF(F44=H49,5,IF(F44=I49,6,IF(F44=J49,7,8)))))))</f>
        <v>2</v>
      </c>
      <c r="G48" s="104">
        <f>IF(G44=D49,1,IF(G44=E49,2,IF(G44=F49,3,IF(G44=G49,4,IF(G44=H49,5,IF(G44=I49,6,IF(G44=J49,7,8)))))))</f>
        <v>5</v>
      </c>
      <c r="H48" s="104">
        <f>IF(H44=D49,1,IF(H44=E49,2,IF(H44=F49,3,IF(H44=G49,4,IF(H44=H49,5,IF(H44=I49,6,IF(H44=J49,7,8)))))))</f>
        <v>4</v>
      </c>
      <c r="I48" s="104">
        <f>IF(I44=D49,1,IF(I44=E49,2,IF(I44=F49,3,IF(I44=G49,4,IF(I44=H49,5,IF(I44=I49,6,IF(I44=J49,7,8)))))))</f>
        <v>3</v>
      </c>
      <c r="J48" s="104">
        <f>IF(J44=D49,1,IF(J44=E49,2,IF(J44=F49,3,IF(J44=G49,4,IF(J44=H49,5,IF(J44=I49,6,IF(J44=J49,7,8)))))))</f>
        <v>8</v>
      </c>
      <c r="K48" s="105">
        <f>IF(K44=D49,1,IF(K44=E49,2,IF(K44=F49,3,IF(K44=G49,4,IF(K44=H49,5,IF(K44=I49,6,IF(K44=J49,7,8)))))))</f>
        <v>7</v>
      </c>
      <c r="L48" s="57"/>
    </row>
    <row r="49" spans="2:21" x14ac:dyDescent="0.2">
      <c r="C49" s="89"/>
      <c r="D49" s="95">
        <f>SMALL(D44:K44,1)</f>
        <v>4.0665434380776334E-2</v>
      </c>
      <c r="E49" s="95">
        <f>SMALL(D44:K44,2)</f>
        <v>8.2255083179297597E-2</v>
      </c>
      <c r="F49" s="95">
        <f>SMALL(D44:K44,3)</f>
        <v>9.8890942698706102E-2</v>
      </c>
      <c r="G49" s="95">
        <f>SMALL(D44:K44,4)</f>
        <v>0.11367837338262475</v>
      </c>
      <c r="H49" s="95">
        <f>SMALL(D44:K44,5)</f>
        <v>0.14417744916820702</v>
      </c>
      <c r="I49" s="95">
        <f>SMALL(D44:K44,6)</f>
        <v>0.14510166358595192</v>
      </c>
      <c r="J49" s="95">
        <f>SMALL(D44:K44,7)</f>
        <v>0.18576709796672827</v>
      </c>
      <c r="K49" s="95">
        <f>SMALL(D44:K44,8)</f>
        <v>0.18946395563770793</v>
      </c>
      <c r="L49" s="57"/>
    </row>
    <row r="50" spans="2:21" x14ac:dyDescent="0.2">
      <c r="C50" s="89"/>
      <c r="D50" s="99"/>
      <c r="E50" s="99"/>
      <c r="F50" s="99"/>
      <c r="G50" s="99"/>
      <c r="H50" s="99"/>
      <c r="I50" s="99"/>
      <c r="J50" s="99"/>
      <c r="K50" s="99"/>
      <c r="L50" s="57"/>
    </row>
    <row r="51" spans="2:21" x14ac:dyDescent="0.2">
      <c r="C51" s="11"/>
      <c r="D51" s="15"/>
      <c r="E51" s="15"/>
      <c r="F51" s="15"/>
      <c r="G51" s="15"/>
      <c r="H51" s="15"/>
      <c r="I51" s="15"/>
      <c r="J51" s="15"/>
      <c r="K51" s="15"/>
    </row>
    <row r="52" spans="2:21" x14ac:dyDescent="0.2">
      <c r="C52" s="11"/>
      <c r="D52" s="15"/>
      <c r="E52" s="15"/>
      <c r="F52" s="15"/>
      <c r="G52" s="15"/>
      <c r="H52" s="15"/>
      <c r="I52" s="15"/>
      <c r="J52" s="15"/>
      <c r="K52" s="15"/>
      <c r="N52" s="35"/>
      <c r="O52" s="35"/>
      <c r="P52" s="35"/>
      <c r="Q52" s="35"/>
      <c r="R52" s="35"/>
      <c r="S52" s="35"/>
    </row>
    <row r="53" spans="2:21" x14ac:dyDescent="0.2">
      <c r="C53" s="11"/>
      <c r="D53" s="17"/>
      <c r="E53" s="17"/>
      <c r="F53" s="17"/>
      <c r="G53" s="17"/>
      <c r="H53" s="17"/>
      <c r="I53" s="17"/>
      <c r="J53" s="17"/>
      <c r="K53" s="17"/>
      <c r="N53" s="35"/>
      <c r="O53" s="35"/>
      <c r="P53" s="35"/>
      <c r="Q53" s="35"/>
      <c r="R53" s="35"/>
      <c r="S53" s="35"/>
    </row>
    <row r="54" spans="2:21" x14ac:dyDescent="0.2">
      <c r="C54" s="11"/>
      <c r="D54" s="17"/>
      <c r="E54" s="17"/>
      <c r="F54" s="17"/>
      <c r="G54" s="17"/>
      <c r="H54" s="17"/>
      <c r="I54" s="17"/>
      <c r="J54" s="17"/>
      <c r="K54" s="17"/>
      <c r="N54" s="35"/>
      <c r="O54" s="35"/>
      <c r="P54" s="35"/>
      <c r="Q54" s="35"/>
      <c r="R54" s="35"/>
      <c r="S54" s="35"/>
    </row>
    <row r="55" spans="2:21" x14ac:dyDescent="0.2">
      <c r="B55" s="12"/>
      <c r="D55" s="17"/>
      <c r="E55" s="17"/>
      <c r="F55" s="17"/>
      <c r="G55" s="17"/>
      <c r="H55" s="17"/>
      <c r="I55" s="17"/>
      <c r="J55" s="17"/>
      <c r="K55" s="17"/>
      <c r="N55" s="35"/>
      <c r="O55" s="35"/>
      <c r="P55" s="35"/>
      <c r="Q55" s="35"/>
      <c r="R55" s="35"/>
      <c r="S55" s="35"/>
    </row>
    <row r="56" spans="2:21" x14ac:dyDescent="0.2">
      <c r="D56" s="18"/>
      <c r="E56" s="18"/>
      <c r="F56" s="18"/>
      <c r="G56" s="18"/>
      <c r="H56" s="18"/>
      <c r="I56" s="18"/>
      <c r="J56" s="18"/>
      <c r="K56" s="18"/>
      <c r="N56" s="35"/>
      <c r="O56" s="35"/>
      <c r="P56" s="35"/>
      <c r="Q56" s="35"/>
      <c r="R56" s="35"/>
      <c r="S56" s="35"/>
    </row>
    <row r="57" spans="2:21" x14ac:dyDescent="0.2">
      <c r="D57" s="17"/>
      <c r="E57" s="17"/>
      <c r="F57" s="17"/>
      <c r="G57" s="17"/>
      <c r="H57" s="17"/>
      <c r="I57" s="17"/>
      <c r="J57" s="17"/>
      <c r="K57" s="17"/>
      <c r="N57" s="35"/>
      <c r="O57" s="42"/>
      <c r="P57" s="42"/>
      <c r="Q57" s="42"/>
      <c r="R57" s="42"/>
      <c r="S57" s="42"/>
      <c r="T57" s="34"/>
      <c r="U57" s="34"/>
    </row>
    <row r="58" spans="2:21" x14ac:dyDescent="0.2">
      <c r="D58" s="17"/>
      <c r="E58" s="17"/>
      <c r="F58" s="17"/>
      <c r="G58" s="16"/>
      <c r="H58" s="16"/>
      <c r="I58" s="17"/>
      <c r="J58" s="17"/>
      <c r="K58" s="17"/>
      <c r="N58" s="42"/>
      <c r="O58" s="42"/>
      <c r="P58" s="42"/>
      <c r="Q58" s="42"/>
      <c r="R58" s="42"/>
      <c r="S58" s="42"/>
      <c r="T58" s="34"/>
      <c r="U58" s="34"/>
    </row>
    <row r="59" spans="2:21" x14ac:dyDescent="0.2">
      <c r="N59" s="34"/>
      <c r="O59" s="34"/>
      <c r="P59" s="34"/>
      <c r="Q59" s="34"/>
      <c r="R59" s="34"/>
      <c r="S59" s="34"/>
      <c r="T59" s="34"/>
      <c r="U59" s="34"/>
    </row>
    <row r="61" spans="2:21" x14ac:dyDescent="0.2">
      <c r="N61" s="34"/>
      <c r="O61" s="34"/>
      <c r="P61" s="34"/>
      <c r="Q61" s="34"/>
      <c r="R61" s="34"/>
      <c r="S61" s="34"/>
      <c r="T61" s="34"/>
      <c r="U61" s="34"/>
    </row>
    <row r="62" spans="2:21" x14ac:dyDescent="0.2">
      <c r="N62" s="34"/>
      <c r="O62" s="34"/>
      <c r="P62" s="34"/>
      <c r="Q62" s="34"/>
      <c r="R62" s="34"/>
      <c r="S62" s="34"/>
      <c r="T62" s="34"/>
      <c r="U62" s="34"/>
    </row>
    <row r="64" spans="2:21" x14ac:dyDescent="0.2">
      <c r="N64" s="34"/>
      <c r="O64" s="34"/>
      <c r="P64" s="34"/>
      <c r="Q64" s="34"/>
      <c r="R64" s="34"/>
      <c r="S64" s="34"/>
      <c r="T64" s="34"/>
      <c r="U64" s="34"/>
    </row>
    <row r="65" spans="3:21" x14ac:dyDescent="0.2">
      <c r="O65" s="34"/>
      <c r="P65" s="34"/>
      <c r="Q65" s="34"/>
      <c r="R65" s="34"/>
      <c r="S65" s="34"/>
      <c r="T65" s="34"/>
      <c r="U65" s="34"/>
    </row>
    <row r="66" spans="3:21" x14ac:dyDescent="0.2">
      <c r="N66" s="34"/>
      <c r="O66" s="34"/>
      <c r="P66" s="34"/>
      <c r="Q66" s="34"/>
      <c r="R66" s="34"/>
      <c r="S66" s="34"/>
      <c r="T66" s="34"/>
      <c r="U66" s="34"/>
    </row>
    <row r="67" spans="3:21" x14ac:dyDescent="0.2">
      <c r="O67" s="34"/>
      <c r="P67" s="34"/>
      <c r="Q67" s="34"/>
      <c r="R67" s="34"/>
      <c r="S67" s="34"/>
      <c r="T67" s="34"/>
      <c r="U67" s="34"/>
    </row>
    <row r="68" spans="3:21" x14ac:dyDescent="0.2">
      <c r="P68" s="34"/>
      <c r="Q68" s="34"/>
      <c r="R68" s="34"/>
      <c r="S68" s="34"/>
      <c r="T68" s="34"/>
      <c r="U68" s="34"/>
    </row>
    <row r="69" spans="3:21" x14ac:dyDescent="0.2">
      <c r="O69" s="9"/>
      <c r="P69" s="9"/>
      <c r="Q69" s="9"/>
      <c r="R69" s="9"/>
      <c r="S69" s="9"/>
      <c r="T69" s="9"/>
      <c r="U69" s="9"/>
    </row>
    <row r="71" spans="3:21" x14ac:dyDescent="0.2">
      <c r="C71" s="14"/>
      <c r="D71" s="26"/>
      <c r="E71" s="26"/>
      <c r="F71" s="26"/>
      <c r="G71" s="26"/>
      <c r="H71" s="26"/>
      <c r="I71" s="26"/>
      <c r="J71" s="26"/>
      <c r="K71" s="26"/>
    </row>
    <row r="74" spans="3:21" x14ac:dyDescent="0.2">
      <c r="D74" s="26"/>
      <c r="E74" s="26"/>
      <c r="F74" s="26"/>
      <c r="G74" s="26"/>
      <c r="H74" s="26"/>
      <c r="I74" s="26"/>
      <c r="J74" s="26"/>
      <c r="K74" s="26"/>
    </row>
    <row r="83" spans="3:15" x14ac:dyDescent="0.2">
      <c r="D83" t="s">
        <v>23</v>
      </c>
    </row>
    <row r="86" spans="3:15" x14ac:dyDescent="0.2">
      <c r="C86" s="282"/>
      <c r="D86" s="282"/>
      <c r="E86" s="282"/>
      <c r="F86" s="282"/>
      <c r="G86" s="282"/>
      <c r="H86" s="282"/>
      <c r="I86" s="282"/>
      <c r="J86" s="5"/>
      <c r="K86" s="5"/>
    </row>
    <row r="87" spans="3:15" x14ac:dyDescent="0.2">
      <c r="C87" s="282"/>
      <c r="D87" s="5"/>
      <c r="E87" s="5"/>
      <c r="F87" s="5"/>
      <c r="G87" s="5"/>
      <c r="H87" s="5"/>
      <c r="I87" s="5"/>
      <c r="J87" s="5"/>
      <c r="K87" s="5"/>
    </row>
    <row r="88" spans="3:15" x14ac:dyDescent="0.2">
      <c r="C88" s="6"/>
      <c r="D88" s="1"/>
      <c r="E88" s="1"/>
      <c r="F88" s="1"/>
      <c r="G88" s="1"/>
      <c r="H88" s="1"/>
      <c r="I88" s="1"/>
      <c r="J88" s="1"/>
      <c r="K88" s="1"/>
      <c r="M88" s="1"/>
      <c r="N88" s="1"/>
      <c r="O88" s="1"/>
    </row>
    <row r="89" spans="3:15" x14ac:dyDescent="0.2">
      <c r="C89" s="6"/>
      <c r="D89" s="1"/>
      <c r="E89" s="1"/>
      <c r="F89" s="1"/>
      <c r="G89" s="1"/>
      <c r="H89" s="1"/>
      <c r="I89" s="1"/>
      <c r="J89" s="1"/>
      <c r="K89" s="1"/>
      <c r="M89" s="1"/>
      <c r="N89" s="1"/>
      <c r="O89" s="1"/>
    </row>
    <row r="90" spans="3:15" x14ac:dyDescent="0.2">
      <c r="C90" s="6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</row>
    <row r="91" spans="3:15" x14ac:dyDescent="0.2">
      <c r="C91" s="6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</row>
    <row r="92" spans="3:15" ht="15.75" x14ac:dyDescent="0.2">
      <c r="C92" s="6"/>
      <c r="D92" s="1"/>
      <c r="E92" s="1"/>
      <c r="F92" s="1"/>
      <c r="G92" s="1"/>
      <c r="H92" s="1"/>
      <c r="I92" s="1"/>
      <c r="J92" s="1"/>
      <c r="K92" s="1"/>
      <c r="M92" s="1"/>
      <c r="N92" s="4"/>
      <c r="O92" s="1"/>
    </row>
    <row r="93" spans="3:15" ht="15.75" x14ac:dyDescent="0.2">
      <c r="C93" s="6"/>
      <c r="D93" s="1"/>
      <c r="E93" s="1"/>
      <c r="F93" s="1"/>
      <c r="G93" s="1"/>
      <c r="H93" s="1"/>
      <c r="I93" s="1"/>
      <c r="J93" s="1"/>
      <c r="K93" s="1"/>
      <c r="M93" s="1"/>
      <c r="N93" s="4"/>
      <c r="O93" s="1"/>
    </row>
    <row r="94" spans="3:15" ht="15.75" x14ac:dyDescent="0.2">
      <c r="C94" s="6"/>
      <c r="D94" s="1"/>
      <c r="E94" s="1"/>
      <c r="F94" s="1"/>
      <c r="G94" s="1"/>
      <c r="H94" s="1"/>
      <c r="I94" s="1"/>
      <c r="J94" s="1"/>
      <c r="K94" s="1"/>
      <c r="M94" s="1"/>
      <c r="N94" s="4"/>
      <c r="O94" s="1"/>
    </row>
    <row r="95" spans="3:15" ht="15.75" x14ac:dyDescent="0.2">
      <c r="C95" s="6"/>
      <c r="D95" s="1"/>
      <c r="E95" s="1"/>
      <c r="F95" s="1"/>
      <c r="G95" s="1"/>
      <c r="H95" s="1"/>
      <c r="I95" s="1"/>
      <c r="J95" s="1"/>
      <c r="K95" s="1"/>
      <c r="M95" s="1"/>
      <c r="N95" s="4"/>
      <c r="O95" s="1"/>
    </row>
    <row r="96" spans="3:15" ht="15.75" x14ac:dyDescent="0.2">
      <c r="C96" s="6"/>
      <c r="D96" s="1"/>
      <c r="E96" s="1"/>
      <c r="F96" s="1"/>
      <c r="G96" s="1"/>
      <c r="H96" s="1"/>
      <c r="I96" s="1"/>
      <c r="J96" s="1"/>
      <c r="K96" s="1"/>
      <c r="M96" s="1"/>
      <c r="N96" s="4"/>
      <c r="O96" s="1"/>
    </row>
    <row r="97" spans="3:15" ht="15.75" x14ac:dyDescent="0.2">
      <c r="C97" s="6"/>
      <c r="D97" s="1"/>
      <c r="E97" s="1"/>
      <c r="F97" s="1"/>
      <c r="G97" s="1"/>
      <c r="H97" s="1"/>
      <c r="I97" s="1"/>
      <c r="J97" s="1"/>
      <c r="K97" s="1"/>
      <c r="M97" s="1"/>
      <c r="N97" s="4"/>
      <c r="O97" s="1"/>
    </row>
    <row r="98" spans="3:15" x14ac:dyDescent="0.2">
      <c r="C98" s="6"/>
      <c r="D98" s="1"/>
      <c r="E98" s="1"/>
      <c r="F98" s="1"/>
      <c r="G98" s="1"/>
      <c r="H98" s="1"/>
      <c r="I98" s="1"/>
      <c r="J98" s="1"/>
      <c r="K98" s="1"/>
      <c r="M98" s="1"/>
      <c r="N98" s="1"/>
      <c r="O98" s="1"/>
    </row>
    <row r="99" spans="3:15" x14ac:dyDescent="0.2">
      <c r="C99" s="11"/>
      <c r="D99" s="6"/>
      <c r="E99" s="6"/>
      <c r="F99" s="6"/>
      <c r="G99" s="6"/>
      <c r="H99" s="6"/>
      <c r="I99" s="6"/>
      <c r="J99" s="6"/>
      <c r="K99" s="6"/>
      <c r="M99" s="1"/>
      <c r="N99" s="1"/>
      <c r="O99" s="1"/>
    </row>
    <row r="100" spans="3:15" x14ac:dyDescent="0.2">
      <c r="C100" s="11"/>
      <c r="D100" s="7"/>
      <c r="E100" s="7"/>
      <c r="F100" s="7"/>
      <c r="G100" s="7"/>
      <c r="H100" s="7"/>
      <c r="I100" s="7"/>
      <c r="J100" s="7"/>
      <c r="K100" s="7"/>
      <c r="L100" s="8"/>
      <c r="M100" s="1"/>
      <c r="N100" s="1"/>
      <c r="O100" s="1"/>
    </row>
    <row r="101" spans="3:15" ht="15.75" x14ac:dyDescent="0.25">
      <c r="C101" s="11"/>
      <c r="D101" s="21"/>
      <c r="E101" s="10"/>
      <c r="F101" s="10"/>
      <c r="G101" s="10"/>
      <c r="H101" s="10"/>
      <c r="I101" s="10"/>
      <c r="J101" s="3"/>
      <c r="K101" s="3"/>
      <c r="M101" s="1"/>
      <c r="N101" s="1"/>
      <c r="O101" s="1"/>
    </row>
    <row r="102" spans="3:15" x14ac:dyDescent="0.2">
      <c r="C102" s="11"/>
      <c r="D102" s="6"/>
      <c r="E102" s="6"/>
      <c r="F102" s="6"/>
      <c r="G102" s="6"/>
      <c r="H102" s="6"/>
      <c r="I102" s="6"/>
      <c r="J102" s="6"/>
      <c r="K102" s="6"/>
    </row>
  </sheetData>
  <sheetProtection selectLockedCells="1" selectUnlockedCells="1"/>
  <mergeCells count="4">
    <mergeCell ref="C10:C11"/>
    <mergeCell ref="D10:K10"/>
    <mergeCell ref="C86:C87"/>
    <mergeCell ref="D86:I8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U102"/>
  <sheetViews>
    <sheetView topLeftCell="B1" workbookViewId="0">
      <selection activeCell="L29" sqref="L29"/>
    </sheetView>
  </sheetViews>
  <sheetFormatPr defaultRowHeight="12.75" x14ac:dyDescent="0.2"/>
  <cols>
    <col min="3" max="3" width="26.7109375" customWidth="1"/>
    <col min="4" max="4" width="9.5703125" customWidth="1"/>
    <col min="13" max="13" width="38.5703125" customWidth="1"/>
    <col min="14" max="14" width="15.28515625" customWidth="1"/>
    <col min="15" max="15" width="10.5703125" bestFit="1" customWidth="1"/>
    <col min="16" max="16" width="10.140625" bestFit="1" customWidth="1"/>
    <col min="17" max="18" width="11.140625" bestFit="1" customWidth="1"/>
    <col min="19" max="19" width="10.5703125" bestFit="1" customWidth="1"/>
    <col min="20" max="20" width="10.140625" bestFit="1" customWidth="1"/>
    <col min="21" max="21" width="11.140625" bestFit="1" customWidth="1"/>
  </cols>
  <sheetData>
    <row r="5" spans="3:20" x14ac:dyDescent="0.2">
      <c r="C5" s="147" t="s">
        <v>183</v>
      </c>
    </row>
    <row r="7" spans="3:20" x14ac:dyDescent="0.2"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3:20" x14ac:dyDescent="0.2">
      <c r="C8" s="48" t="s">
        <v>153</v>
      </c>
      <c r="D8" s="19"/>
      <c r="E8" s="19"/>
      <c r="F8" s="19"/>
      <c r="G8" s="19"/>
      <c r="H8" s="19"/>
      <c r="I8" s="19"/>
      <c r="J8" s="19"/>
      <c r="K8" s="107"/>
      <c r="L8" s="19"/>
      <c r="M8" s="19"/>
      <c r="N8" s="19"/>
      <c r="O8" s="19"/>
      <c r="P8" s="19"/>
      <c r="Q8" s="19"/>
      <c r="R8" s="19"/>
      <c r="S8" s="19"/>
      <c r="T8" s="19"/>
    </row>
    <row r="9" spans="3:20" ht="13.5" thickBot="1" x14ac:dyDescent="0.25">
      <c r="C9" s="19"/>
      <c r="D9" s="19"/>
      <c r="E9" s="19"/>
      <c r="F9" s="19"/>
      <c r="G9" s="19"/>
      <c r="H9" s="19"/>
      <c r="I9" s="19"/>
      <c r="J9" s="19"/>
      <c r="K9" s="107"/>
      <c r="L9" s="19"/>
      <c r="M9" s="19"/>
      <c r="N9" s="19"/>
      <c r="O9" s="19"/>
      <c r="P9" s="19"/>
      <c r="Q9" s="19"/>
      <c r="R9" s="19"/>
      <c r="S9" s="19"/>
      <c r="T9" s="19"/>
    </row>
    <row r="10" spans="3:20" ht="15" customHeight="1" thickBot="1" x14ac:dyDescent="0.25">
      <c r="C10" s="294" t="s">
        <v>1</v>
      </c>
      <c r="D10" s="300" t="s">
        <v>180</v>
      </c>
      <c r="E10" s="301"/>
      <c r="F10" s="301"/>
      <c r="G10" s="301"/>
      <c r="H10" s="301"/>
      <c r="I10" s="301"/>
      <c r="J10" s="302"/>
      <c r="K10" s="108"/>
      <c r="L10" s="109" t="s">
        <v>2</v>
      </c>
      <c r="M10" s="38" t="s">
        <v>39</v>
      </c>
      <c r="N10" s="19"/>
      <c r="O10" s="19"/>
      <c r="P10" s="19"/>
      <c r="Q10" s="19"/>
      <c r="R10" s="19"/>
      <c r="S10" s="19"/>
      <c r="T10" s="19"/>
    </row>
    <row r="11" spans="3:20" ht="15" customHeight="1" thickBot="1" x14ac:dyDescent="0.25">
      <c r="C11" s="299"/>
      <c r="D11" s="110" t="s">
        <v>2</v>
      </c>
      <c r="E11" s="111" t="s">
        <v>3</v>
      </c>
      <c r="F11" s="110" t="s">
        <v>4</v>
      </c>
      <c r="G11" s="111" t="s">
        <v>5</v>
      </c>
      <c r="H11" s="110" t="s">
        <v>6</v>
      </c>
      <c r="I11" s="111" t="s">
        <v>7</v>
      </c>
      <c r="J11" s="110" t="s">
        <v>8</v>
      </c>
      <c r="K11" s="108"/>
      <c r="L11" s="109" t="s">
        <v>3</v>
      </c>
      <c r="M11" s="40" t="s">
        <v>38</v>
      </c>
      <c r="N11" s="19"/>
      <c r="O11" s="19"/>
      <c r="P11" s="19"/>
      <c r="Q11" s="19"/>
      <c r="R11" s="19"/>
      <c r="S11" s="19"/>
      <c r="T11" s="19"/>
    </row>
    <row r="12" spans="3:20" ht="15" customHeight="1" x14ac:dyDescent="0.2">
      <c r="C12" s="120" t="s">
        <v>10</v>
      </c>
      <c r="D12" s="121">
        <v>7</v>
      </c>
      <c r="E12" s="122">
        <v>6</v>
      </c>
      <c r="F12" s="122">
        <v>5</v>
      </c>
      <c r="G12" s="122">
        <v>2</v>
      </c>
      <c r="H12" s="122">
        <v>1</v>
      </c>
      <c r="I12" s="122">
        <v>3</v>
      </c>
      <c r="J12" s="123">
        <v>4</v>
      </c>
      <c r="K12" s="107"/>
      <c r="L12" s="109" t="s">
        <v>4</v>
      </c>
      <c r="M12" s="41" t="s">
        <v>149</v>
      </c>
      <c r="N12" s="19"/>
      <c r="O12" s="19"/>
      <c r="P12" s="19"/>
      <c r="Q12" s="19"/>
      <c r="R12" s="19"/>
      <c r="S12" s="19"/>
      <c r="T12" s="19"/>
    </row>
    <row r="13" spans="3:20" ht="15" customHeight="1" x14ac:dyDescent="0.2">
      <c r="C13" s="58" t="s">
        <v>11</v>
      </c>
      <c r="D13" s="66">
        <v>6</v>
      </c>
      <c r="E13" s="67">
        <v>7</v>
      </c>
      <c r="F13" s="67">
        <v>3</v>
      </c>
      <c r="G13" s="67">
        <v>1</v>
      </c>
      <c r="H13" s="67">
        <v>2</v>
      </c>
      <c r="I13" s="67">
        <v>5</v>
      </c>
      <c r="J13" s="68">
        <v>4</v>
      </c>
      <c r="K13" s="112"/>
      <c r="L13" s="109" t="s">
        <v>5</v>
      </c>
      <c r="M13" s="41" t="s">
        <v>151</v>
      </c>
      <c r="N13" s="19"/>
      <c r="O13" s="19"/>
      <c r="P13" s="19"/>
      <c r="Q13" s="19"/>
      <c r="R13" s="19"/>
      <c r="S13" s="19"/>
      <c r="T13" s="19"/>
    </row>
    <row r="14" spans="3:20" ht="15" customHeight="1" x14ac:dyDescent="0.2">
      <c r="C14" s="58" t="s">
        <v>12</v>
      </c>
      <c r="D14" s="66">
        <v>6</v>
      </c>
      <c r="E14" s="67">
        <v>7</v>
      </c>
      <c r="F14" s="67">
        <v>5</v>
      </c>
      <c r="G14" s="67">
        <v>1</v>
      </c>
      <c r="H14" s="67">
        <v>2</v>
      </c>
      <c r="I14" s="67">
        <v>4</v>
      </c>
      <c r="J14" s="68">
        <v>5</v>
      </c>
      <c r="K14" s="107"/>
      <c r="L14" s="109" t="s">
        <v>6</v>
      </c>
      <c r="M14" s="41" t="s">
        <v>30</v>
      </c>
      <c r="N14" s="19"/>
      <c r="O14" s="19"/>
      <c r="P14" s="19"/>
      <c r="Q14" s="19"/>
      <c r="R14" s="19"/>
      <c r="S14" s="19"/>
      <c r="T14" s="19"/>
    </row>
    <row r="15" spans="3:20" ht="15" customHeight="1" x14ac:dyDescent="0.2">
      <c r="C15" s="58" t="s">
        <v>13</v>
      </c>
      <c r="D15" s="66">
        <v>6</v>
      </c>
      <c r="E15" s="67">
        <v>7</v>
      </c>
      <c r="F15" s="67">
        <v>4</v>
      </c>
      <c r="G15" s="67">
        <v>1</v>
      </c>
      <c r="H15" s="67">
        <v>3</v>
      </c>
      <c r="I15" s="67">
        <v>5</v>
      </c>
      <c r="J15" s="68">
        <v>2</v>
      </c>
      <c r="K15" s="112"/>
      <c r="L15" s="109" t="s">
        <v>7</v>
      </c>
      <c r="M15" s="41" t="s">
        <v>29</v>
      </c>
      <c r="N15" s="19"/>
      <c r="O15" s="19"/>
      <c r="P15" s="19"/>
      <c r="Q15" s="19"/>
      <c r="R15" s="19"/>
      <c r="S15" s="19"/>
      <c r="T15" s="19"/>
    </row>
    <row r="16" spans="3:20" ht="15" customHeight="1" x14ac:dyDescent="0.2">
      <c r="C16" s="58" t="s">
        <v>14</v>
      </c>
      <c r="D16" s="66">
        <v>7</v>
      </c>
      <c r="E16" s="67">
        <v>6</v>
      </c>
      <c r="F16" s="67">
        <v>1</v>
      </c>
      <c r="G16" s="67">
        <v>3</v>
      </c>
      <c r="H16" s="67">
        <v>2</v>
      </c>
      <c r="I16" s="67">
        <v>4</v>
      </c>
      <c r="J16" s="68">
        <v>5</v>
      </c>
      <c r="K16" s="112"/>
      <c r="L16" s="109" t="s">
        <v>8</v>
      </c>
      <c r="M16" s="41" t="s">
        <v>150</v>
      </c>
      <c r="N16" s="19"/>
      <c r="O16" s="19"/>
      <c r="P16" s="19"/>
      <c r="Q16" s="19"/>
      <c r="R16" s="19"/>
      <c r="S16" s="19"/>
      <c r="T16" s="19"/>
    </row>
    <row r="17" spans="3:21" ht="15" customHeight="1" x14ac:dyDescent="0.2">
      <c r="C17" s="58" t="s">
        <v>15</v>
      </c>
      <c r="D17" s="66">
        <v>6</v>
      </c>
      <c r="E17" s="67">
        <v>5</v>
      </c>
      <c r="F17" s="67">
        <v>1</v>
      </c>
      <c r="G17" s="67">
        <v>3</v>
      </c>
      <c r="H17" s="67">
        <v>7</v>
      </c>
      <c r="I17" s="67">
        <v>4</v>
      </c>
      <c r="J17" s="68">
        <v>2</v>
      </c>
      <c r="K17" s="112"/>
      <c r="L17" s="19"/>
      <c r="M17" s="19"/>
      <c r="N17" s="19"/>
      <c r="O17" s="19"/>
      <c r="P17" s="19"/>
      <c r="Q17" s="19"/>
      <c r="R17" s="19"/>
      <c r="S17" s="19"/>
      <c r="T17" s="19"/>
    </row>
    <row r="18" spans="3:21" ht="15" customHeight="1" x14ac:dyDescent="0.25">
      <c r="C18" s="58" t="s">
        <v>16</v>
      </c>
      <c r="D18" s="66">
        <v>7</v>
      </c>
      <c r="E18" s="67">
        <v>5</v>
      </c>
      <c r="F18" s="67">
        <v>2</v>
      </c>
      <c r="G18" s="67">
        <v>1</v>
      </c>
      <c r="H18" s="67">
        <v>3</v>
      </c>
      <c r="I18" s="67">
        <v>6</v>
      </c>
      <c r="J18" s="68">
        <v>4</v>
      </c>
      <c r="K18" s="113"/>
      <c r="L18" s="19"/>
      <c r="M18" s="43" t="s">
        <v>179</v>
      </c>
      <c r="N18" s="3"/>
      <c r="O18" s="19"/>
      <c r="P18" s="19"/>
      <c r="Q18" s="19"/>
      <c r="R18" s="19"/>
      <c r="S18" s="19"/>
      <c r="T18" s="19"/>
    </row>
    <row r="19" spans="3:21" ht="15" customHeight="1" x14ac:dyDescent="0.25">
      <c r="C19" s="58" t="s">
        <v>17</v>
      </c>
      <c r="D19" s="66">
        <v>4</v>
      </c>
      <c r="E19" s="67">
        <v>7</v>
      </c>
      <c r="F19" s="67">
        <v>2</v>
      </c>
      <c r="G19" s="67">
        <v>1</v>
      </c>
      <c r="H19" s="67">
        <v>3</v>
      </c>
      <c r="I19" s="67">
        <v>5</v>
      </c>
      <c r="J19" s="68">
        <v>6</v>
      </c>
      <c r="K19" s="25"/>
      <c r="L19" s="19"/>
      <c r="M19" s="19"/>
      <c r="N19" s="3"/>
      <c r="O19" s="19"/>
      <c r="P19" s="19"/>
      <c r="Q19" s="19"/>
      <c r="R19" s="19"/>
      <c r="S19" s="19"/>
      <c r="T19" s="19"/>
    </row>
    <row r="20" spans="3:21" ht="15" customHeight="1" x14ac:dyDescent="0.2">
      <c r="C20" s="58" t="s">
        <v>18</v>
      </c>
      <c r="D20" s="66">
        <v>7</v>
      </c>
      <c r="E20" s="67">
        <v>6</v>
      </c>
      <c r="F20" s="67">
        <v>5</v>
      </c>
      <c r="G20" s="67">
        <v>2</v>
      </c>
      <c r="H20" s="67">
        <v>1</v>
      </c>
      <c r="I20" s="67">
        <v>3</v>
      </c>
      <c r="J20" s="68">
        <v>4</v>
      </c>
      <c r="K20" s="114"/>
      <c r="L20" s="19"/>
      <c r="M20" s="19" t="s">
        <v>152</v>
      </c>
      <c r="N20" s="54">
        <f>K42/7</f>
        <v>120.28571428571429</v>
      </c>
      <c r="O20" s="54"/>
      <c r="P20" s="54"/>
      <c r="Q20" s="54"/>
      <c r="R20" s="54"/>
      <c r="S20" s="54"/>
      <c r="T20" s="54"/>
    </row>
    <row r="21" spans="3:21" ht="15" customHeight="1" x14ac:dyDescent="0.2">
      <c r="C21" s="58" t="s">
        <v>19</v>
      </c>
      <c r="D21" s="66">
        <v>5</v>
      </c>
      <c r="E21" s="67">
        <v>7</v>
      </c>
      <c r="F21" s="67">
        <v>4</v>
      </c>
      <c r="G21" s="67">
        <v>1</v>
      </c>
      <c r="H21" s="67">
        <v>3</v>
      </c>
      <c r="I21" s="67">
        <v>6</v>
      </c>
      <c r="J21" s="68">
        <v>2</v>
      </c>
      <c r="K21" s="114"/>
      <c r="L21" s="19"/>
      <c r="M21" s="19"/>
      <c r="N21" s="54">
        <f>D42-N20</f>
        <v>60.714285714285708</v>
      </c>
      <c r="O21" s="54">
        <f>E42-N20</f>
        <v>65.714285714285708</v>
      </c>
      <c r="P21" s="54">
        <f>F42-N20</f>
        <v>-41.285714285714292</v>
      </c>
      <c r="Q21" s="54">
        <f>G42-N20</f>
        <v>-62.285714285714292</v>
      </c>
      <c r="R21" s="54">
        <f>H42-N20</f>
        <v>-30.285714285714292</v>
      </c>
      <c r="S21" s="54">
        <f>I42-N20</f>
        <v>8.7142857142857082</v>
      </c>
      <c r="T21" s="54">
        <f>J42-N20</f>
        <v>-1.2857142857142918</v>
      </c>
      <c r="U21" s="9"/>
    </row>
    <row r="22" spans="3:21" ht="15" customHeight="1" x14ac:dyDescent="0.2">
      <c r="C22" s="58" t="s">
        <v>41</v>
      </c>
      <c r="D22" s="66">
        <v>4</v>
      </c>
      <c r="E22" s="67">
        <v>7</v>
      </c>
      <c r="F22" s="67">
        <v>6</v>
      </c>
      <c r="G22" s="67">
        <v>3</v>
      </c>
      <c r="H22" s="67">
        <v>1</v>
      </c>
      <c r="I22" s="67">
        <v>5</v>
      </c>
      <c r="J22" s="68">
        <v>2</v>
      </c>
      <c r="K22" s="114"/>
      <c r="L22" s="19"/>
      <c r="M22" s="19"/>
      <c r="N22" s="54">
        <f t="shared" ref="N22:T22" si="0">N21*N21</f>
        <v>3686.2244897959176</v>
      </c>
      <c r="O22" s="54">
        <f t="shared" si="0"/>
        <v>4318.367346938775</v>
      </c>
      <c r="P22" s="54">
        <f t="shared" si="0"/>
        <v>1704.5102040816332</v>
      </c>
      <c r="Q22" s="54">
        <f t="shared" si="0"/>
        <v>3879.5102040816332</v>
      </c>
      <c r="R22" s="54">
        <f t="shared" si="0"/>
        <v>917.22448979591877</v>
      </c>
      <c r="S22" s="54">
        <f t="shared" si="0"/>
        <v>75.938775510203982</v>
      </c>
      <c r="T22" s="54">
        <f t="shared" si="0"/>
        <v>1.6530612244898115</v>
      </c>
      <c r="U22" s="9"/>
    </row>
    <row r="23" spans="3:21" ht="15" customHeight="1" x14ac:dyDescent="0.2">
      <c r="C23" s="58" t="s">
        <v>42</v>
      </c>
      <c r="D23" s="66">
        <v>6</v>
      </c>
      <c r="E23" s="67">
        <v>7</v>
      </c>
      <c r="F23" s="67">
        <v>2</v>
      </c>
      <c r="G23" s="67">
        <v>1</v>
      </c>
      <c r="H23" s="67">
        <v>3</v>
      </c>
      <c r="I23" s="67">
        <v>5</v>
      </c>
      <c r="J23" s="68">
        <v>4</v>
      </c>
      <c r="K23" s="114"/>
      <c r="L23" s="19"/>
      <c r="M23" s="46" t="s">
        <v>0</v>
      </c>
      <c r="N23" s="54">
        <f>SUM(N22:U22)</f>
        <v>14583.428571428571</v>
      </c>
      <c r="O23" s="54"/>
      <c r="P23" s="54"/>
      <c r="Q23" s="54"/>
      <c r="R23" s="54"/>
      <c r="S23" s="54"/>
      <c r="T23" s="54"/>
    </row>
    <row r="24" spans="3:21" ht="15" customHeight="1" x14ac:dyDescent="0.2">
      <c r="C24" s="58" t="s">
        <v>43</v>
      </c>
      <c r="D24" s="66">
        <v>5</v>
      </c>
      <c r="E24" s="67">
        <v>7</v>
      </c>
      <c r="F24" s="67">
        <v>2</v>
      </c>
      <c r="G24" s="67">
        <v>1</v>
      </c>
      <c r="H24" s="67">
        <v>3</v>
      </c>
      <c r="I24" s="67">
        <v>6</v>
      </c>
      <c r="J24" s="68">
        <v>4</v>
      </c>
      <c r="K24" s="25"/>
      <c r="L24" s="19"/>
      <c r="M24" s="43" t="s">
        <v>178</v>
      </c>
      <c r="N24" s="54">
        <f>12*N23</f>
        <v>175001.14285714284</v>
      </c>
      <c r="O24" s="54"/>
      <c r="P24" s="54"/>
      <c r="Q24" s="54"/>
      <c r="R24" s="54"/>
      <c r="S24" s="54"/>
      <c r="T24" s="54"/>
    </row>
    <row r="25" spans="3:21" ht="15" customHeight="1" x14ac:dyDescent="0.2">
      <c r="C25" s="58" t="s">
        <v>44</v>
      </c>
      <c r="D25" s="66">
        <v>7</v>
      </c>
      <c r="E25" s="67">
        <v>5</v>
      </c>
      <c r="F25" s="67">
        <v>1</v>
      </c>
      <c r="G25" s="67">
        <v>2</v>
      </c>
      <c r="H25" s="67">
        <v>4</v>
      </c>
      <c r="I25" s="67">
        <v>6</v>
      </c>
      <c r="J25" s="68">
        <v>3</v>
      </c>
      <c r="K25" s="114"/>
      <c r="L25" s="19"/>
      <c r="M25" s="19"/>
      <c r="N25" s="248">
        <v>900</v>
      </c>
      <c r="O25" s="54"/>
      <c r="P25" s="54"/>
      <c r="Q25" s="54"/>
      <c r="R25" s="54"/>
      <c r="S25" s="54"/>
      <c r="T25" s="54"/>
    </row>
    <row r="26" spans="3:21" ht="15" customHeight="1" x14ac:dyDescent="0.2">
      <c r="C26" s="78" t="s">
        <v>45</v>
      </c>
      <c r="D26" s="66">
        <v>4</v>
      </c>
      <c r="E26" s="67">
        <v>5</v>
      </c>
      <c r="F26" s="67">
        <v>2</v>
      </c>
      <c r="G26" s="67">
        <v>1</v>
      </c>
      <c r="H26" s="67">
        <v>3</v>
      </c>
      <c r="I26" s="67">
        <v>7</v>
      </c>
      <c r="J26" s="68">
        <v>6</v>
      </c>
      <c r="K26" s="112"/>
      <c r="L26" s="19"/>
      <c r="M26" s="19"/>
      <c r="N26" s="248">
        <f>N25*336</f>
        <v>302400</v>
      </c>
      <c r="O26" s="54"/>
      <c r="P26" s="54"/>
      <c r="Q26" s="54"/>
      <c r="R26" s="54"/>
      <c r="S26" s="54"/>
      <c r="T26" s="54"/>
    </row>
    <row r="27" spans="3:21" s="33" customFormat="1" ht="15" customHeight="1" x14ac:dyDescent="0.2">
      <c r="C27" s="80" t="s">
        <v>124</v>
      </c>
      <c r="D27" s="66">
        <v>7</v>
      </c>
      <c r="E27" s="67">
        <v>6</v>
      </c>
      <c r="F27" s="67">
        <v>2</v>
      </c>
      <c r="G27" s="67">
        <v>1</v>
      </c>
      <c r="H27" s="67">
        <v>3</v>
      </c>
      <c r="I27" s="67">
        <v>4</v>
      </c>
      <c r="J27" s="68">
        <v>5</v>
      </c>
      <c r="K27" s="112"/>
      <c r="L27" s="19"/>
      <c r="M27" s="46" t="s">
        <v>40</v>
      </c>
      <c r="N27" s="54">
        <f>N24/N26</f>
        <v>0.57870748299319719</v>
      </c>
      <c r="O27" s="54"/>
      <c r="P27" s="54"/>
      <c r="Q27" s="54"/>
      <c r="R27" s="54"/>
      <c r="S27" s="54"/>
      <c r="T27" s="54"/>
    </row>
    <row r="28" spans="3:21" s="33" customFormat="1" ht="15" customHeight="1" x14ac:dyDescent="0.2">
      <c r="C28" s="80" t="s">
        <v>125</v>
      </c>
      <c r="D28" s="66">
        <v>7</v>
      </c>
      <c r="E28" s="67">
        <v>5</v>
      </c>
      <c r="F28" s="67">
        <v>6</v>
      </c>
      <c r="G28" s="67">
        <v>4</v>
      </c>
      <c r="H28" s="67">
        <v>3</v>
      </c>
      <c r="I28" s="67">
        <v>1</v>
      </c>
      <c r="J28" s="68">
        <v>2</v>
      </c>
      <c r="K28" s="112"/>
      <c r="L28" s="19"/>
      <c r="M28" s="39" t="s">
        <v>185</v>
      </c>
      <c r="N28" s="54">
        <f>N24/1680</f>
        <v>104.16734693877549</v>
      </c>
      <c r="O28" s="54"/>
      <c r="P28" s="54"/>
      <c r="Q28" s="54"/>
      <c r="R28" s="54"/>
      <c r="S28" s="54"/>
      <c r="T28" s="54"/>
    </row>
    <row r="29" spans="3:21" s="33" customFormat="1" ht="15" customHeight="1" x14ac:dyDescent="0.25">
      <c r="C29" s="80" t="s">
        <v>126</v>
      </c>
      <c r="D29" s="66">
        <v>6</v>
      </c>
      <c r="E29" s="67">
        <v>7</v>
      </c>
      <c r="F29" s="67">
        <v>1</v>
      </c>
      <c r="G29" s="67">
        <v>2</v>
      </c>
      <c r="H29" s="67">
        <v>3</v>
      </c>
      <c r="I29" s="67">
        <v>4</v>
      </c>
      <c r="J29" s="68">
        <v>5</v>
      </c>
      <c r="K29" s="112"/>
      <c r="L29" s="19"/>
      <c r="M29" s="19"/>
      <c r="N29" s="3"/>
      <c r="O29" s="19"/>
      <c r="P29" s="19"/>
      <c r="Q29" s="19"/>
      <c r="R29" s="19"/>
      <c r="S29" s="19"/>
      <c r="T29" s="19"/>
    </row>
    <row r="30" spans="3:21" s="33" customFormat="1" ht="15" customHeight="1" x14ac:dyDescent="0.25">
      <c r="C30" s="80" t="s">
        <v>127</v>
      </c>
      <c r="D30" s="66">
        <v>7</v>
      </c>
      <c r="E30" s="67">
        <v>4</v>
      </c>
      <c r="F30" s="67">
        <v>2</v>
      </c>
      <c r="G30" s="67">
        <v>5</v>
      </c>
      <c r="H30" s="67">
        <v>6</v>
      </c>
      <c r="I30" s="67">
        <v>1</v>
      </c>
      <c r="J30" s="68">
        <v>3</v>
      </c>
      <c r="K30" s="112"/>
      <c r="L30" s="19"/>
      <c r="M30" s="19"/>
      <c r="N30" s="3"/>
      <c r="O30" s="19"/>
      <c r="P30" s="19"/>
      <c r="Q30" s="19"/>
      <c r="R30" s="19"/>
      <c r="S30" s="19"/>
      <c r="T30" s="19"/>
    </row>
    <row r="31" spans="3:21" s="33" customFormat="1" ht="15" customHeight="1" x14ac:dyDescent="0.25">
      <c r="C31" s="80" t="s">
        <v>128</v>
      </c>
      <c r="D31" s="66">
        <v>7</v>
      </c>
      <c r="E31" s="67">
        <v>6</v>
      </c>
      <c r="F31" s="67">
        <v>3</v>
      </c>
      <c r="G31" s="67">
        <v>2</v>
      </c>
      <c r="H31" s="67">
        <v>1</v>
      </c>
      <c r="I31" s="67">
        <v>4</v>
      </c>
      <c r="J31" s="68">
        <v>5</v>
      </c>
      <c r="K31" s="112"/>
      <c r="L31" s="19"/>
      <c r="M31" s="19"/>
      <c r="N31" s="3"/>
      <c r="O31" s="19"/>
      <c r="P31" s="19"/>
      <c r="Q31" s="19"/>
      <c r="R31" s="19"/>
      <c r="S31" s="19"/>
      <c r="T31" s="19"/>
    </row>
    <row r="32" spans="3:21" s="33" customFormat="1" ht="15" customHeight="1" x14ac:dyDescent="0.25">
      <c r="C32" s="80" t="s">
        <v>129</v>
      </c>
      <c r="D32" s="66">
        <v>6</v>
      </c>
      <c r="E32" s="67">
        <v>7</v>
      </c>
      <c r="F32" s="67">
        <v>5</v>
      </c>
      <c r="G32" s="67">
        <v>2</v>
      </c>
      <c r="H32" s="67">
        <v>1</v>
      </c>
      <c r="I32" s="67">
        <v>3</v>
      </c>
      <c r="J32" s="68">
        <v>4</v>
      </c>
      <c r="K32" s="112"/>
      <c r="L32" s="19"/>
      <c r="M32" s="19"/>
      <c r="N32" s="3"/>
      <c r="O32" s="19"/>
      <c r="P32" s="19"/>
      <c r="Q32" s="19"/>
      <c r="R32" s="19"/>
      <c r="S32" s="19"/>
      <c r="T32" s="19"/>
    </row>
    <row r="33" spans="2:20" s="33" customFormat="1" ht="15" customHeight="1" x14ac:dyDescent="0.25">
      <c r="C33" s="80" t="s">
        <v>130</v>
      </c>
      <c r="D33" s="66">
        <v>6</v>
      </c>
      <c r="E33" s="67">
        <v>7</v>
      </c>
      <c r="F33" s="67">
        <v>2</v>
      </c>
      <c r="G33" s="67">
        <v>1</v>
      </c>
      <c r="H33" s="67">
        <v>3</v>
      </c>
      <c r="I33" s="67">
        <v>5</v>
      </c>
      <c r="J33" s="68">
        <v>4</v>
      </c>
      <c r="K33" s="112"/>
      <c r="L33" s="19"/>
      <c r="M33" s="19"/>
      <c r="N33" s="3"/>
      <c r="O33" s="19"/>
      <c r="P33" s="19"/>
      <c r="Q33" s="19"/>
      <c r="R33" s="19"/>
      <c r="S33" s="19"/>
      <c r="T33" s="19"/>
    </row>
    <row r="34" spans="2:20" s="33" customFormat="1" ht="15" customHeight="1" x14ac:dyDescent="0.25">
      <c r="C34" s="80" t="s">
        <v>131</v>
      </c>
      <c r="D34" s="66">
        <v>4</v>
      </c>
      <c r="E34" s="67">
        <v>7</v>
      </c>
      <c r="F34" s="67">
        <v>1</v>
      </c>
      <c r="G34" s="67">
        <v>2</v>
      </c>
      <c r="H34" s="67">
        <v>6</v>
      </c>
      <c r="I34" s="67">
        <v>5</v>
      </c>
      <c r="J34" s="68">
        <v>3</v>
      </c>
      <c r="K34" s="112"/>
      <c r="L34" s="19"/>
      <c r="M34" s="19"/>
      <c r="N34" s="3"/>
      <c r="O34" s="19"/>
      <c r="P34" s="19"/>
      <c r="Q34" s="19"/>
      <c r="R34" s="19"/>
      <c r="S34" s="19"/>
      <c r="T34" s="19"/>
    </row>
    <row r="35" spans="2:20" s="33" customFormat="1" ht="15" customHeight="1" x14ac:dyDescent="0.25">
      <c r="C35" s="80" t="s">
        <v>132</v>
      </c>
      <c r="D35" s="66">
        <v>7</v>
      </c>
      <c r="E35" s="67">
        <v>6</v>
      </c>
      <c r="F35" s="67">
        <v>1</v>
      </c>
      <c r="G35" s="67">
        <v>2</v>
      </c>
      <c r="H35" s="67">
        <v>5</v>
      </c>
      <c r="I35" s="67">
        <v>4</v>
      </c>
      <c r="J35" s="68">
        <v>3</v>
      </c>
      <c r="K35" s="112"/>
      <c r="L35" s="19"/>
      <c r="M35" s="19"/>
      <c r="N35" s="3"/>
      <c r="O35" s="19"/>
      <c r="P35" s="19"/>
      <c r="Q35" s="19"/>
      <c r="R35" s="19"/>
      <c r="S35" s="19"/>
      <c r="T35" s="19"/>
    </row>
    <row r="36" spans="2:20" s="33" customFormat="1" ht="15" customHeight="1" x14ac:dyDescent="0.25">
      <c r="C36" s="85" t="s">
        <v>133</v>
      </c>
      <c r="D36" s="66">
        <v>7</v>
      </c>
      <c r="E36" s="67">
        <v>6</v>
      </c>
      <c r="F36" s="67">
        <v>1</v>
      </c>
      <c r="G36" s="67">
        <v>4</v>
      </c>
      <c r="H36" s="67">
        <v>5</v>
      </c>
      <c r="I36" s="67">
        <v>2</v>
      </c>
      <c r="J36" s="68">
        <v>3</v>
      </c>
      <c r="K36" s="112"/>
      <c r="L36" s="19"/>
      <c r="M36" s="19"/>
      <c r="N36" s="3"/>
      <c r="O36" s="19"/>
      <c r="P36" s="19"/>
      <c r="Q36" s="19"/>
      <c r="R36" s="19"/>
      <c r="S36" s="19"/>
      <c r="T36" s="19"/>
    </row>
    <row r="37" spans="2:20" s="33" customFormat="1" ht="15" customHeight="1" x14ac:dyDescent="0.25">
      <c r="C37" s="80" t="s">
        <v>134</v>
      </c>
      <c r="D37" s="66">
        <v>7</v>
      </c>
      <c r="E37" s="67">
        <v>6</v>
      </c>
      <c r="F37" s="67">
        <v>1</v>
      </c>
      <c r="G37" s="67">
        <v>2</v>
      </c>
      <c r="H37" s="67">
        <v>3</v>
      </c>
      <c r="I37" s="67">
        <v>5</v>
      </c>
      <c r="J37" s="68">
        <v>4</v>
      </c>
      <c r="K37" s="112"/>
      <c r="L37" s="19"/>
      <c r="M37" s="19"/>
      <c r="N37" s="3"/>
      <c r="O37" s="19"/>
      <c r="P37" s="19"/>
      <c r="Q37" s="19"/>
      <c r="R37" s="19"/>
      <c r="S37" s="19"/>
      <c r="T37" s="19"/>
    </row>
    <row r="38" spans="2:20" s="33" customFormat="1" ht="15" customHeight="1" x14ac:dyDescent="0.25">
      <c r="C38" s="90" t="s">
        <v>135</v>
      </c>
      <c r="D38" s="124">
        <v>6</v>
      </c>
      <c r="E38" s="125">
        <v>7</v>
      </c>
      <c r="F38" s="125">
        <v>1</v>
      </c>
      <c r="G38" s="125">
        <v>4</v>
      </c>
      <c r="H38" s="125">
        <v>3</v>
      </c>
      <c r="I38" s="125">
        <v>2</v>
      </c>
      <c r="J38" s="126">
        <v>5</v>
      </c>
      <c r="K38" s="112"/>
      <c r="L38" s="19"/>
      <c r="M38" s="19"/>
      <c r="N38" s="3"/>
      <c r="O38" s="19"/>
      <c r="P38" s="19"/>
      <c r="Q38" s="19"/>
      <c r="R38" s="19"/>
      <c r="S38" s="19"/>
      <c r="T38" s="19"/>
    </row>
    <row r="39" spans="2:20" s="33" customFormat="1" ht="15" customHeight="1" x14ac:dyDescent="0.25">
      <c r="C39" s="80" t="s">
        <v>136</v>
      </c>
      <c r="D39" s="66">
        <v>7</v>
      </c>
      <c r="E39" s="67">
        <v>6</v>
      </c>
      <c r="F39" s="67">
        <v>2</v>
      </c>
      <c r="G39" s="67">
        <v>1</v>
      </c>
      <c r="H39" s="67">
        <v>3</v>
      </c>
      <c r="I39" s="67">
        <v>4</v>
      </c>
      <c r="J39" s="68">
        <v>5</v>
      </c>
      <c r="K39" s="112"/>
      <c r="L39" s="19"/>
      <c r="M39" s="19"/>
      <c r="N39" s="3"/>
      <c r="O39" s="19"/>
      <c r="P39" s="19"/>
      <c r="Q39" s="19"/>
      <c r="R39" s="19"/>
      <c r="S39" s="19"/>
      <c r="T39" s="19"/>
    </row>
    <row r="40" spans="2:20" s="33" customFormat="1" ht="15" customHeight="1" x14ac:dyDescent="0.25">
      <c r="C40" s="80" t="s">
        <v>137</v>
      </c>
      <c r="D40" s="66">
        <v>6</v>
      </c>
      <c r="E40" s="67">
        <v>7</v>
      </c>
      <c r="F40" s="67">
        <v>3</v>
      </c>
      <c r="G40" s="67">
        <v>1</v>
      </c>
      <c r="H40" s="67">
        <v>2</v>
      </c>
      <c r="I40" s="67">
        <v>5</v>
      </c>
      <c r="J40" s="68">
        <v>4</v>
      </c>
      <c r="K40" s="112"/>
      <c r="L40" s="19"/>
      <c r="M40" s="19"/>
      <c r="N40" s="3"/>
      <c r="O40" s="19"/>
      <c r="P40" s="19"/>
      <c r="Q40" s="19"/>
      <c r="R40" s="19"/>
      <c r="S40" s="19"/>
      <c r="T40" s="19"/>
    </row>
    <row r="41" spans="2:20" s="33" customFormat="1" ht="15" customHeight="1" thickBot="1" x14ac:dyDescent="0.3">
      <c r="C41" s="127" t="s">
        <v>138</v>
      </c>
      <c r="D41" s="128">
        <v>4</v>
      </c>
      <c r="E41" s="129">
        <v>5</v>
      </c>
      <c r="F41" s="129">
        <v>3</v>
      </c>
      <c r="G41" s="129">
        <v>1</v>
      </c>
      <c r="H41" s="129">
        <v>2</v>
      </c>
      <c r="I41" s="129">
        <v>6</v>
      </c>
      <c r="J41" s="130">
        <v>7</v>
      </c>
      <c r="K41" s="112"/>
      <c r="L41" s="19"/>
      <c r="M41" s="19"/>
      <c r="N41" s="3"/>
      <c r="O41" s="19"/>
      <c r="P41" s="19"/>
      <c r="Q41" s="19"/>
      <c r="R41" s="19"/>
      <c r="S41" s="19"/>
      <c r="T41" s="19"/>
    </row>
    <row r="42" spans="2:20" ht="15" customHeight="1" x14ac:dyDescent="0.25">
      <c r="C42" s="140" t="s">
        <v>20</v>
      </c>
      <c r="D42" s="132">
        <f>SUM(D12:D41)</f>
        <v>181</v>
      </c>
      <c r="E42" s="122">
        <f t="shared" ref="E42:J42" si="1">SUM(E12:E41)</f>
        <v>186</v>
      </c>
      <c r="F42" s="122">
        <f t="shared" si="1"/>
        <v>79</v>
      </c>
      <c r="G42" s="122">
        <f t="shared" si="1"/>
        <v>58</v>
      </c>
      <c r="H42" s="122">
        <f t="shared" si="1"/>
        <v>90</v>
      </c>
      <c r="I42" s="122">
        <f t="shared" si="1"/>
        <v>129</v>
      </c>
      <c r="J42" s="123">
        <f t="shared" si="1"/>
        <v>119</v>
      </c>
      <c r="K42" s="52">
        <f>SUM(D42:J42)</f>
        <v>842</v>
      </c>
      <c r="L42" s="19"/>
      <c r="M42" s="19"/>
      <c r="N42" s="3"/>
      <c r="O42" s="19"/>
      <c r="P42" s="19"/>
      <c r="Q42" s="19"/>
      <c r="R42" s="19"/>
      <c r="S42" s="19"/>
      <c r="T42" s="19"/>
    </row>
    <row r="43" spans="2:20" x14ac:dyDescent="0.2">
      <c r="C43" s="141" t="s">
        <v>21</v>
      </c>
      <c r="D43" s="133">
        <f>(D42/30)</f>
        <v>6.0333333333333332</v>
      </c>
      <c r="E43" s="134">
        <f t="shared" ref="E43:J43" si="2">(E42/30)</f>
        <v>6.2</v>
      </c>
      <c r="F43" s="134">
        <f t="shared" si="2"/>
        <v>2.6333333333333333</v>
      </c>
      <c r="G43" s="134">
        <f t="shared" si="2"/>
        <v>1.9333333333333333</v>
      </c>
      <c r="H43" s="134">
        <f t="shared" si="2"/>
        <v>3</v>
      </c>
      <c r="I43" s="134">
        <f t="shared" si="2"/>
        <v>4.3</v>
      </c>
      <c r="J43" s="135">
        <f t="shared" si="2"/>
        <v>3.9666666666666668</v>
      </c>
      <c r="K43" s="53">
        <f>SUM(D43:J43)</f>
        <v>28.06666666666667</v>
      </c>
      <c r="L43" s="19"/>
      <c r="M43" s="19"/>
      <c r="N43" s="107"/>
      <c r="O43" s="19"/>
      <c r="P43" s="19"/>
      <c r="Q43" s="19"/>
      <c r="R43" s="19"/>
      <c r="S43" s="19"/>
      <c r="T43" s="19"/>
    </row>
    <row r="44" spans="2:20" x14ac:dyDescent="0.2">
      <c r="C44" s="116" t="s">
        <v>184</v>
      </c>
      <c r="D44" s="136">
        <f>(D43/K43)</f>
        <v>0.21496437054631826</v>
      </c>
      <c r="E44" s="92">
        <f>(E43/K43)</f>
        <v>0.22090261282660331</v>
      </c>
      <c r="F44" s="92">
        <f>(F43/K43)</f>
        <v>9.3824228028503556E-2</v>
      </c>
      <c r="G44" s="92">
        <f>(G43/K43)</f>
        <v>6.8883610451306407E-2</v>
      </c>
      <c r="H44" s="92">
        <f>(H43/K43)</f>
        <v>0.10688836104513062</v>
      </c>
      <c r="I44" s="92">
        <f>(I43/K43)</f>
        <v>0.1532066508313539</v>
      </c>
      <c r="J44" s="93">
        <f>(J43/K43)</f>
        <v>0.14133016627078385</v>
      </c>
      <c r="K44" s="117">
        <f>SUM(D44:J44)</f>
        <v>1</v>
      </c>
      <c r="L44" s="19"/>
      <c r="M44" s="19"/>
      <c r="N44" s="107"/>
      <c r="O44" s="19"/>
      <c r="P44" s="19"/>
      <c r="Q44" s="19"/>
      <c r="R44" s="19"/>
      <c r="S44" s="19"/>
      <c r="T44" s="19"/>
    </row>
    <row r="45" spans="2:20" x14ac:dyDescent="0.2">
      <c r="C45" s="142"/>
      <c r="D45" s="136">
        <f>SUM(1-D44)</f>
        <v>0.78503562945368177</v>
      </c>
      <c r="E45" s="92">
        <f t="shared" ref="E45:I45" si="3">SUM(1-E44)</f>
        <v>0.77909738717339672</v>
      </c>
      <c r="F45" s="92">
        <f t="shared" si="3"/>
        <v>0.90617577197149646</v>
      </c>
      <c r="G45" s="92">
        <f t="shared" si="3"/>
        <v>0.93111638954869358</v>
      </c>
      <c r="H45" s="92">
        <f t="shared" si="3"/>
        <v>0.89311163895486934</v>
      </c>
      <c r="I45" s="92">
        <f t="shared" si="3"/>
        <v>0.84679334916864613</v>
      </c>
      <c r="J45" s="93">
        <f>SUM(1-J44)</f>
        <v>0.85866983372921613</v>
      </c>
      <c r="K45" s="106">
        <f>SUM(D45:J45)</f>
        <v>6</v>
      </c>
      <c r="L45" s="19"/>
      <c r="M45" s="19"/>
      <c r="N45" s="107"/>
      <c r="O45" s="19"/>
      <c r="P45" s="19"/>
      <c r="Q45" s="19"/>
      <c r="R45" s="19"/>
      <c r="S45" s="19"/>
      <c r="T45" s="19"/>
    </row>
    <row r="46" spans="2:20" x14ac:dyDescent="0.2">
      <c r="C46" s="141" t="s">
        <v>161</v>
      </c>
      <c r="D46" s="136">
        <f>D45/K45</f>
        <v>0.13083927157561362</v>
      </c>
      <c r="E46" s="92">
        <f>E45/K45</f>
        <v>0.12984956452889945</v>
      </c>
      <c r="F46" s="92">
        <f>F45/K45</f>
        <v>0.15102929532858275</v>
      </c>
      <c r="G46" s="92">
        <f>G45/K45</f>
        <v>0.15518606492478226</v>
      </c>
      <c r="H46" s="92">
        <f>H45/K45</f>
        <v>0.14885193982581155</v>
      </c>
      <c r="I46" s="92">
        <f>I45/K45</f>
        <v>0.14113222486144103</v>
      </c>
      <c r="J46" s="93">
        <f>J45/K45</f>
        <v>0.14311163895486936</v>
      </c>
      <c r="K46" s="117"/>
      <c r="L46" s="106"/>
      <c r="M46" s="19"/>
      <c r="N46" s="107"/>
      <c r="O46" s="19"/>
      <c r="P46" s="19"/>
      <c r="Q46" s="19"/>
      <c r="R46" s="19"/>
      <c r="S46" s="19"/>
      <c r="T46" s="19"/>
    </row>
    <row r="47" spans="2:20" ht="15.75" x14ac:dyDescent="0.25">
      <c r="C47" s="141"/>
      <c r="D47" s="137"/>
      <c r="E47" s="97"/>
      <c r="F47" s="97"/>
      <c r="G47" s="97"/>
      <c r="H47" s="97"/>
      <c r="I47" s="97"/>
      <c r="J47" s="98"/>
      <c r="K47" s="3"/>
      <c r="L47" s="19"/>
      <c r="M47" s="19"/>
      <c r="N47" s="19"/>
      <c r="O47" s="19"/>
      <c r="P47" s="19"/>
      <c r="Q47" s="19"/>
      <c r="R47" s="19"/>
      <c r="S47" s="19"/>
      <c r="T47" s="19"/>
    </row>
    <row r="48" spans="2:20" ht="13.5" thickBot="1" x14ac:dyDescent="0.25">
      <c r="B48" s="33"/>
      <c r="C48" s="143" t="s">
        <v>22</v>
      </c>
      <c r="D48" s="138">
        <f>IF(D44=D49,1,IF(D44=E49,2,IF(D44=F49,3,IF(D44=G49,4,IF(D44=H49,5,IF(D44=I49,6,IF(D44=J49,7,8)))))))</f>
        <v>6</v>
      </c>
      <c r="E48" s="104">
        <f>IF(E44=D49,1,IF(E44=E49,2,IF(E44=F49,3,IF(E44=G49,4,IF(E44=H49,5,IF(E44=I49,6,IF(E44=J49,7,8)))))))</f>
        <v>7</v>
      </c>
      <c r="F48" s="104">
        <f>IF(F44=D49,1,IF(F44=E49,2,IF(F44=F49,3,IF(F44=G49,4,IF(F44=H49,5,IF(F44=I49,6,IF(F44=J49,7,8)))))))</f>
        <v>2</v>
      </c>
      <c r="G48" s="104">
        <f>IF(G44=D49,1,IF(G44=E49,2,IF(G44=F49,3,IF(G44=G49,4,IF(G44=H49,5,IF(G44=I49,6,IF(G44=J49,7,8)))))))</f>
        <v>1</v>
      </c>
      <c r="H48" s="104">
        <f>IF(H44=D49,1,IF(H44=E49,2,IF(H44=F49,3,IF(H44=G49,4,IF(H44=H49,5,IF(H44=I49,6,IF(H44=J49,7,8)))))))</f>
        <v>3</v>
      </c>
      <c r="I48" s="104">
        <f>IF(I44=D49,1,IF(I44=E49,2,IF(I44=F49,3,IF(I44=G49,4,IF(I44=H49,5,IF(I44=I49,6,IF(I44=J49,7,8)))))))</f>
        <v>5</v>
      </c>
      <c r="J48" s="105">
        <f>IF(J44=D49,1,IF(J44=E49,2,IF(J44=F49,3,IF(J44=G49,4,IF(J44=H49,5,IF(J44=I49,6,IF(J44=J49,7,8)))))))</f>
        <v>4</v>
      </c>
      <c r="K48" s="55"/>
      <c r="L48" s="19"/>
      <c r="M48" s="19"/>
      <c r="N48" s="19"/>
      <c r="O48" s="19"/>
      <c r="P48" s="19"/>
      <c r="Q48" s="19"/>
      <c r="R48" s="19"/>
      <c r="S48" s="19"/>
      <c r="T48" s="19"/>
    </row>
    <row r="49" spans="2:21" x14ac:dyDescent="0.2">
      <c r="B49" s="33"/>
      <c r="C49" s="89"/>
      <c r="D49" s="139">
        <f>SMALL(D44:J44,1)</f>
        <v>6.8883610451306407E-2</v>
      </c>
      <c r="E49" s="139">
        <f>SMALL(D44:K44,2)</f>
        <v>9.3824228028503556E-2</v>
      </c>
      <c r="F49" s="139">
        <f>SMALL(D44:K44,3)</f>
        <v>0.10688836104513062</v>
      </c>
      <c r="G49" s="139">
        <f>SMALL(D44:K44,4)</f>
        <v>0.14133016627078385</v>
      </c>
      <c r="H49" s="139">
        <f>SMALL(D44:K44,5)</f>
        <v>0.1532066508313539</v>
      </c>
      <c r="I49" s="139">
        <f>SMALL(D44:K44,6)</f>
        <v>0.21496437054631826</v>
      </c>
      <c r="J49" s="139">
        <f>SMALL(D44:K44,7)</f>
        <v>0.22090261282660331</v>
      </c>
      <c r="K49" s="119"/>
      <c r="L49" s="48"/>
      <c r="M49" s="19"/>
      <c r="N49" s="19"/>
      <c r="O49" s="19"/>
      <c r="P49" s="19"/>
      <c r="Q49" s="19"/>
      <c r="R49" s="19"/>
      <c r="S49" s="19"/>
      <c r="T49" s="19"/>
    </row>
    <row r="50" spans="2:21" x14ac:dyDescent="0.2">
      <c r="D50" s="12"/>
      <c r="E50" s="12"/>
      <c r="F50" s="12"/>
      <c r="G50" s="12"/>
      <c r="H50" s="12"/>
      <c r="I50" s="12"/>
      <c r="J50" s="12"/>
      <c r="K50" s="12"/>
    </row>
    <row r="51" spans="2:21" x14ac:dyDescent="0.2">
      <c r="D51" s="15"/>
      <c r="E51" s="15"/>
      <c r="F51" s="15"/>
      <c r="G51" s="15"/>
      <c r="H51" s="15"/>
      <c r="I51" s="15"/>
      <c r="J51" s="15"/>
      <c r="K51" s="15"/>
    </row>
    <row r="52" spans="2:21" x14ac:dyDescent="0.2">
      <c r="D52" s="15"/>
      <c r="E52" s="15"/>
      <c r="F52" s="15"/>
      <c r="G52" s="15"/>
      <c r="H52" s="15"/>
      <c r="I52" s="15"/>
      <c r="J52" s="15"/>
      <c r="K52" s="15"/>
    </row>
    <row r="53" spans="2:21" x14ac:dyDescent="0.2">
      <c r="D53" s="17"/>
      <c r="E53" s="17"/>
      <c r="F53" s="17"/>
      <c r="G53" s="17"/>
      <c r="H53" s="17"/>
      <c r="I53" s="17"/>
      <c r="J53" s="17"/>
      <c r="K53" s="17"/>
    </row>
    <row r="54" spans="2:21" x14ac:dyDescent="0.2">
      <c r="D54" s="17"/>
      <c r="E54" s="17"/>
      <c r="F54" s="17"/>
      <c r="G54" s="17"/>
      <c r="H54" s="17"/>
      <c r="I54" s="17"/>
      <c r="J54" s="17"/>
      <c r="K54" s="17"/>
      <c r="N54" s="13"/>
      <c r="O54" s="13"/>
      <c r="P54" s="13"/>
    </row>
    <row r="55" spans="2:21" x14ac:dyDescent="0.2">
      <c r="D55" s="17"/>
      <c r="E55" s="17"/>
      <c r="F55" s="17"/>
      <c r="G55" s="17"/>
      <c r="H55" s="17"/>
      <c r="I55" s="17"/>
      <c r="J55" s="17"/>
      <c r="K55" s="17"/>
    </row>
    <row r="56" spans="2:21" x14ac:dyDescent="0.2">
      <c r="D56" s="18"/>
      <c r="E56" s="18"/>
      <c r="F56" s="18"/>
      <c r="G56" s="18"/>
      <c r="H56" s="18"/>
      <c r="I56" s="18"/>
      <c r="J56" s="18"/>
      <c r="K56" s="18"/>
    </row>
    <row r="57" spans="2:21" x14ac:dyDescent="0.2">
      <c r="B57" s="33"/>
      <c r="C57" s="33"/>
      <c r="D57" s="17"/>
      <c r="E57" s="17"/>
      <c r="F57" s="17"/>
      <c r="G57" s="17"/>
      <c r="H57" s="17"/>
      <c r="I57" s="17"/>
      <c r="J57" s="17"/>
      <c r="K57" s="17"/>
    </row>
    <row r="58" spans="2:21" x14ac:dyDescent="0.2">
      <c r="B58" s="33"/>
      <c r="C58" s="33"/>
      <c r="D58" s="17"/>
      <c r="E58" s="17"/>
      <c r="F58" s="17"/>
      <c r="G58" s="16"/>
      <c r="H58" s="16"/>
      <c r="I58" s="17"/>
      <c r="J58" s="17"/>
      <c r="K58" s="17"/>
    </row>
    <row r="60" spans="2:21" x14ac:dyDescent="0.2">
      <c r="B60" s="33"/>
      <c r="C60" s="33"/>
      <c r="D60" s="33"/>
      <c r="E60" s="33"/>
      <c r="F60" s="33"/>
      <c r="G60" s="33"/>
      <c r="H60" s="33"/>
      <c r="I60" s="33"/>
    </row>
    <row r="62" spans="2:21" x14ac:dyDescent="0.2">
      <c r="B62" s="33"/>
      <c r="C62" s="33"/>
      <c r="D62" s="33"/>
      <c r="E62" s="33"/>
      <c r="F62" s="33"/>
      <c r="G62" s="33"/>
      <c r="H62" s="33"/>
      <c r="I62" s="33"/>
    </row>
    <row r="63" spans="2:21" x14ac:dyDescent="0.2">
      <c r="B63" s="33"/>
      <c r="C63" s="33"/>
      <c r="D63" s="33"/>
      <c r="E63" s="33"/>
      <c r="F63" s="33"/>
      <c r="G63" s="33"/>
      <c r="H63" s="33"/>
      <c r="I63" s="33"/>
    </row>
    <row r="64" spans="2:21" ht="26.25" customHeight="1" x14ac:dyDescent="0.2">
      <c r="N64" s="9"/>
      <c r="O64" s="9"/>
      <c r="P64" s="9"/>
      <c r="Q64" s="9"/>
      <c r="R64" s="9"/>
      <c r="S64" s="9"/>
      <c r="T64" s="9"/>
      <c r="U64" s="9"/>
    </row>
    <row r="65" spans="14:21" x14ac:dyDescent="0.2">
      <c r="O65" s="9"/>
      <c r="P65" s="9"/>
      <c r="Q65" s="9"/>
      <c r="R65" s="9"/>
      <c r="S65" s="9"/>
      <c r="T65" s="9"/>
      <c r="U65" s="9"/>
    </row>
    <row r="66" spans="14:21" x14ac:dyDescent="0.2">
      <c r="N66" s="9"/>
      <c r="O66" s="9"/>
      <c r="P66" s="9"/>
      <c r="Q66" s="9"/>
      <c r="R66" s="9"/>
      <c r="S66" s="9"/>
      <c r="T66" s="9"/>
      <c r="U66" s="9"/>
    </row>
    <row r="67" spans="14:21" x14ac:dyDescent="0.2">
      <c r="O67" s="9"/>
      <c r="P67" s="9"/>
      <c r="Q67" s="9"/>
      <c r="R67" s="9"/>
      <c r="S67" s="9"/>
      <c r="T67" s="9"/>
      <c r="U67" s="9"/>
    </row>
    <row r="68" spans="14:21" x14ac:dyDescent="0.2">
      <c r="P68" s="9"/>
      <c r="Q68" s="9"/>
      <c r="R68" s="9"/>
      <c r="S68" s="9"/>
      <c r="T68" s="9"/>
      <c r="U68" s="9"/>
    </row>
    <row r="69" spans="14:21" x14ac:dyDescent="0.2">
      <c r="O69" s="9"/>
      <c r="P69" s="9"/>
      <c r="Q69" s="9"/>
      <c r="R69" s="9"/>
      <c r="S69" s="9"/>
      <c r="T69" s="9"/>
      <c r="U69" s="9"/>
    </row>
    <row r="83" spans="3:15" x14ac:dyDescent="0.2">
      <c r="C83" s="33"/>
      <c r="D83" s="33" t="s">
        <v>23</v>
      </c>
      <c r="E83" s="33"/>
      <c r="F83" s="33"/>
      <c r="G83" s="33"/>
      <c r="H83" s="33"/>
      <c r="I83" s="33"/>
    </row>
    <row r="86" spans="3:15" x14ac:dyDescent="0.2">
      <c r="C86" s="282"/>
      <c r="D86" s="282"/>
      <c r="E86" s="282"/>
      <c r="F86" s="282"/>
      <c r="G86" s="282"/>
      <c r="H86" s="282"/>
      <c r="I86" s="282"/>
      <c r="J86" s="24"/>
      <c r="K86" s="24"/>
    </row>
    <row r="87" spans="3:15" x14ac:dyDescent="0.2">
      <c r="C87" s="282"/>
      <c r="D87" s="32"/>
      <c r="E87" s="32"/>
      <c r="F87" s="32"/>
      <c r="G87" s="32"/>
      <c r="H87" s="32"/>
      <c r="I87" s="32"/>
      <c r="J87" s="24"/>
      <c r="K87" s="24"/>
    </row>
    <row r="88" spans="3:15" x14ac:dyDescent="0.2">
      <c r="C88" s="6"/>
      <c r="D88" s="1"/>
      <c r="E88" s="1"/>
      <c r="F88" s="1"/>
      <c r="G88" s="1"/>
      <c r="H88" s="1"/>
      <c r="I88" s="1"/>
      <c r="J88" s="1"/>
      <c r="K88" s="1"/>
      <c r="M88" s="1"/>
      <c r="N88" s="1"/>
      <c r="O88" s="1"/>
    </row>
    <row r="89" spans="3:15" x14ac:dyDescent="0.2">
      <c r="C89" s="6"/>
      <c r="D89" s="1"/>
      <c r="E89" s="1"/>
      <c r="F89" s="1"/>
      <c r="G89" s="1"/>
      <c r="H89" s="1"/>
      <c r="I89" s="1"/>
      <c r="J89" s="1"/>
      <c r="K89" s="1"/>
      <c r="M89" s="1"/>
      <c r="N89" s="1"/>
      <c r="O89" s="1"/>
    </row>
    <row r="90" spans="3:15" x14ac:dyDescent="0.2">
      <c r="C90" s="6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</row>
    <row r="91" spans="3:15" x14ac:dyDescent="0.2">
      <c r="C91" s="6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</row>
    <row r="92" spans="3:15" ht="15.75" x14ac:dyDescent="0.2">
      <c r="C92" s="6"/>
      <c r="D92" s="1"/>
      <c r="E92" s="1"/>
      <c r="F92" s="1"/>
      <c r="G92" s="1"/>
      <c r="H92" s="1"/>
      <c r="I92" s="1"/>
      <c r="J92" s="1"/>
      <c r="K92" s="1"/>
      <c r="M92" s="1"/>
      <c r="N92" s="4"/>
      <c r="O92" s="1"/>
    </row>
    <row r="93" spans="3:15" ht="15.75" x14ac:dyDescent="0.2">
      <c r="C93" s="6"/>
      <c r="D93" s="1"/>
      <c r="E93" s="1"/>
      <c r="F93" s="1"/>
      <c r="G93" s="1"/>
      <c r="H93" s="1"/>
      <c r="I93" s="1"/>
      <c r="J93" s="1"/>
      <c r="K93" s="1"/>
      <c r="M93" s="1"/>
      <c r="N93" s="4"/>
      <c r="O93" s="1"/>
    </row>
    <row r="94" spans="3:15" ht="15.75" x14ac:dyDescent="0.2">
      <c r="C94" s="6"/>
      <c r="D94" s="1"/>
      <c r="E94" s="1"/>
      <c r="F94" s="1"/>
      <c r="G94" s="1"/>
      <c r="H94" s="1"/>
      <c r="I94" s="1"/>
      <c r="J94" s="1"/>
      <c r="K94" s="1"/>
      <c r="M94" s="1"/>
      <c r="N94" s="4"/>
      <c r="O94" s="1"/>
    </row>
    <row r="95" spans="3:15" ht="15.75" x14ac:dyDescent="0.2">
      <c r="C95" s="6"/>
      <c r="D95" s="1"/>
      <c r="E95" s="1"/>
      <c r="F95" s="1"/>
      <c r="G95" s="1"/>
      <c r="H95" s="1"/>
      <c r="I95" s="1"/>
      <c r="J95" s="1"/>
      <c r="K95" s="1"/>
      <c r="M95" s="1"/>
      <c r="N95" s="4"/>
      <c r="O95" s="1"/>
    </row>
    <row r="96" spans="3:15" ht="15.75" x14ac:dyDescent="0.2">
      <c r="C96" s="6"/>
      <c r="D96" s="1"/>
      <c r="E96" s="1"/>
      <c r="F96" s="1"/>
      <c r="G96" s="1"/>
      <c r="H96" s="1"/>
      <c r="I96" s="1"/>
      <c r="J96" s="1"/>
      <c r="K96" s="1"/>
      <c r="M96" s="1"/>
      <c r="N96" s="4"/>
      <c r="O96" s="1"/>
    </row>
    <row r="97" spans="3:15" ht="15.75" x14ac:dyDescent="0.2">
      <c r="C97" s="6"/>
      <c r="D97" s="1"/>
      <c r="E97" s="1"/>
      <c r="F97" s="1"/>
      <c r="G97" s="1"/>
      <c r="H97" s="1"/>
      <c r="I97" s="1"/>
      <c r="J97" s="1"/>
      <c r="K97" s="1"/>
      <c r="M97" s="1"/>
      <c r="N97" s="4"/>
      <c r="O97" s="1"/>
    </row>
    <row r="98" spans="3:15" x14ac:dyDescent="0.2">
      <c r="C98" s="6"/>
      <c r="D98" s="1"/>
      <c r="E98" s="1"/>
      <c r="F98" s="1"/>
      <c r="G98" s="1"/>
      <c r="H98" s="1"/>
      <c r="I98" s="1"/>
      <c r="J98" s="1"/>
      <c r="K98" s="1"/>
      <c r="M98" s="1"/>
      <c r="N98" s="1"/>
      <c r="O98" s="1"/>
    </row>
    <row r="99" spans="3:15" x14ac:dyDescent="0.2">
      <c r="C99" s="11"/>
      <c r="D99" s="6"/>
      <c r="E99" s="6"/>
      <c r="F99" s="6"/>
      <c r="G99" s="6"/>
      <c r="H99" s="6"/>
      <c r="I99" s="6"/>
      <c r="J99" s="6"/>
      <c r="K99" s="6"/>
      <c r="M99" s="1"/>
      <c r="N99" s="1"/>
      <c r="O99" s="1"/>
    </row>
    <row r="100" spans="3:15" x14ac:dyDescent="0.2">
      <c r="C100" s="11"/>
      <c r="D100" s="7"/>
      <c r="E100" s="7"/>
      <c r="F100" s="7"/>
      <c r="G100" s="7"/>
      <c r="H100" s="7"/>
      <c r="I100" s="7"/>
      <c r="J100" s="7"/>
      <c r="K100" s="7"/>
      <c r="L100" s="8"/>
      <c r="M100" s="1"/>
      <c r="N100" s="1"/>
      <c r="O100" s="1"/>
    </row>
    <row r="101" spans="3:15" ht="15.75" x14ac:dyDescent="0.25">
      <c r="C101" s="11"/>
      <c r="D101" s="21"/>
      <c r="E101" s="10"/>
      <c r="F101" s="10"/>
      <c r="G101" s="10"/>
      <c r="H101" s="10"/>
      <c r="I101" s="10"/>
      <c r="J101" s="3"/>
      <c r="K101" s="3"/>
      <c r="M101" s="1"/>
      <c r="N101" s="1"/>
      <c r="O101" s="1"/>
    </row>
    <row r="102" spans="3:15" x14ac:dyDescent="0.2">
      <c r="C102" s="11"/>
      <c r="D102" s="6"/>
      <c r="E102" s="6"/>
      <c r="F102" s="6"/>
      <c r="G102" s="6"/>
      <c r="H102" s="6"/>
      <c r="I102" s="6"/>
      <c r="J102" s="6"/>
      <c r="K102" s="6"/>
    </row>
  </sheetData>
  <sheetProtection selectLockedCells="1" selectUnlockedCells="1"/>
  <mergeCells count="4">
    <mergeCell ref="C10:C11"/>
    <mergeCell ref="C86:C87"/>
    <mergeCell ref="D86:I86"/>
    <mergeCell ref="D10:J10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opLeftCell="A31" workbookViewId="0">
      <selection activeCell="F2" sqref="F2"/>
    </sheetView>
  </sheetViews>
  <sheetFormatPr defaultRowHeight="12.75" x14ac:dyDescent="0.2"/>
  <cols>
    <col min="1" max="1" width="9.140625" style="33"/>
    <col min="2" max="2" width="7.7109375" customWidth="1"/>
    <col min="3" max="3" width="38.5703125" customWidth="1"/>
    <col min="4" max="4" width="14.7109375" customWidth="1"/>
    <col min="5" max="5" width="12" style="33" customWidth="1"/>
    <col min="6" max="6" width="12.7109375" style="34" customWidth="1"/>
  </cols>
  <sheetData>
    <row r="1" spans="1:15" ht="13.5" thickBot="1" x14ac:dyDescent="0.25">
      <c r="A1" s="19">
        <v>0</v>
      </c>
      <c r="B1" s="272"/>
      <c r="C1" s="271"/>
      <c r="D1" s="19" t="s">
        <v>120</v>
      </c>
      <c r="E1" s="19" t="s">
        <v>139</v>
      </c>
      <c r="F1" s="54" t="s">
        <v>148</v>
      </c>
      <c r="G1" s="19" t="s">
        <v>121</v>
      </c>
    </row>
    <row r="2" spans="1:15" ht="38.25" x14ac:dyDescent="0.2">
      <c r="A2" s="19">
        <v>1</v>
      </c>
      <c r="B2" s="306" t="s">
        <v>51</v>
      </c>
      <c r="C2" s="273" t="s">
        <v>52</v>
      </c>
      <c r="D2" s="262">
        <f>'Isoriniai  v.'!D46</f>
        <v>0.13704779508846052</v>
      </c>
      <c r="E2" s="263">
        <v>1</v>
      </c>
      <c r="F2" s="268">
        <f t="shared" ref="F2:F9" si="0">D2*$I$3*8</f>
        <v>0.14344986944334548</v>
      </c>
      <c r="G2" s="264" t="s">
        <v>145</v>
      </c>
      <c r="H2" s="36"/>
      <c r="I2" s="67" t="s">
        <v>171</v>
      </c>
      <c r="J2" s="67" t="s">
        <v>172</v>
      </c>
      <c r="K2" s="67" t="s">
        <v>173</v>
      </c>
      <c r="L2" s="67" t="s">
        <v>174</v>
      </c>
      <c r="M2" s="67" t="s">
        <v>175</v>
      </c>
      <c r="N2" s="67" t="s">
        <v>176</v>
      </c>
      <c r="O2" s="67" t="s">
        <v>177</v>
      </c>
    </row>
    <row r="3" spans="1:15" ht="25.5" x14ac:dyDescent="0.2">
      <c r="A3" s="19">
        <v>2</v>
      </c>
      <c r="B3" s="307"/>
      <c r="C3" s="149" t="s">
        <v>53</v>
      </c>
      <c r="D3" s="92">
        <f>'Isoriniai  v.'!E46</f>
        <v>0.12212833377343545</v>
      </c>
      <c r="E3" s="70">
        <v>6</v>
      </c>
      <c r="F3" s="269">
        <f t="shared" si="0"/>
        <v>0.12783345783727801</v>
      </c>
      <c r="G3" s="126">
        <v>67</v>
      </c>
      <c r="H3" s="35"/>
      <c r="I3" s="92">
        <v>0.13083927157561401</v>
      </c>
      <c r="J3" s="92">
        <v>0.12984956452889901</v>
      </c>
      <c r="K3" s="92">
        <v>0.151029295328583</v>
      </c>
      <c r="L3" s="92">
        <v>0.15518606492478201</v>
      </c>
      <c r="M3" s="92">
        <v>0.14885193982581199</v>
      </c>
      <c r="N3" s="92">
        <v>0.141132224861441</v>
      </c>
      <c r="O3" s="92">
        <v>0.143111638954869</v>
      </c>
    </row>
    <row r="4" spans="1:15" ht="25.5" x14ac:dyDescent="0.2">
      <c r="A4" s="19">
        <v>3</v>
      </c>
      <c r="B4" s="307"/>
      <c r="C4" s="149" t="s">
        <v>54</v>
      </c>
      <c r="D4" s="92">
        <f>'Isoriniai  v.'!F46</f>
        <v>0.13110641668867176</v>
      </c>
      <c r="E4" s="70">
        <v>2</v>
      </c>
      <c r="F4" s="269">
        <f t="shared" si="0"/>
        <v>0.13723094446747791</v>
      </c>
      <c r="G4" s="126" t="s">
        <v>147</v>
      </c>
      <c r="H4" s="35"/>
      <c r="L4" s="34"/>
    </row>
    <row r="5" spans="1:15" ht="25.5" x14ac:dyDescent="0.2">
      <c r="A5" s="52">
        <v>4</v>
      </c>
      <c r="B5" s="307"/>
      <c r="C5" s="149" t="s">
        <v>55</v>
      </c>
      <c r="D5" s="92">
        <f>'Isoriniai  v.'!G46</f>
        <v>0.12226036440454184</v>
      </c>
      <c r="E5" s="70">
        <v>5</v>
      </c>
      <c r="F5" s="269">
        <f t="shared" si="0"/>
        <v>0.12797165617007505</v>
      </c>
      <c r="G5" s="126">
        <v>66</v>
      </c>
      <c r="H5" s="35"/>
      <c r="L5" s="29"/>
    </row>
    <row r="6" spans="1:15" x14ac:dyDescent="0.2">
      <c r="A6" s="52">
        <v>5</v>
      </c>
      <c r="B6" s="307"/>
      <c r="C6" s="149" t="s">
        <v>56</v>
      </c>
      <c r="D6" s="92">
        <f>'Isoriniai  v.'!H46</f>
        <v>0.1266173752310536</v>
      </c>
      <c r="E6" s="70">
        <v>4</v>
      </c>
      <c r="F6" s="269">
        <f t="shared" si="0"/>
        <v>0.13253220115237796</v>
      </c>
      <c r="G6" s="126">
        <v>64</v>
      </c>
      <c r="H6" s="35"/>
      <c r="L6" s="34"/>
    </row>
    <row r="7" spans="1:15" ht="25.5" x14ac:dyDescent="0.2">
      <c r="A7" s="52">
        <v>6</v>
      </c>
      <c r="B7" s="307"/>
      <c r="C7" s="149" t="s">
        <v>57</v>
      </c>
      <c r="D7" s="92">
        <f>'Isoriniai  v.'!I46</f>
        <v>0.12872986532875627</v>
      </c>
      <c r="E7" s="70">
        <v>3</v>
      </c>
      <c r="F7" s="269">
        <f t="shared" si="0"/>
        <v>0.13474337447713089</v>
      </c>
      <c r="G7" s="126">
        <v>61</v>
      </c>
      <c r="H7" s="35"/>
      <c r="L7" s="34"/>
    </row>
    <row r="8" spans="1:15" ht="25.5" x14ac:dyDescent="0.2">
      <c r="A8" s="52">
        <v>7</v>
      </c>
      <c r="B8" s="307"/>
      <c r="C8" s="149" t="s">
        <v>58</v>
      </c>
      <c r="D8" s="92">
        <f>'Isoriniai  v.'!J46</f>
        <v>0.11579086348032744</v>
      </c>
      <c r="E8" s="70">
        <v>8</v>
      </c>
      <c r="F8" s="269">
        <f t="shared" si="0"/>
        <v>0.12119993786301926</v>
      </c>
      <c r="G8" s="126">
        <v>69</v>
      </c>
      <c r="H8" s="35"/>
      <c r="L8" s="29"/>
    </row>
    <row r="9" spans="1:15" ht="26.25" thickBot="1" x14ac:dyDescent="0.25">
      <c r="A9" s="52">
        <v>8</v>
      </c>
      <c r="B9" s="308"/>
      <c r="C9" s="274" t="s">
        <v>170</v>
      </c>
      <c r="D9" s="265">
        <f>'Isoriniai  v.'!K46</f>
        <v>0.1163189860047531</v>
      </c>
      <c r="E9" s="172">
        <v>7</v>
      </c>
      <c r="F9" s="270">
        <f t="shared" si="0"/>
        <v>0.12175273119420749</v>
      </c>
      <c r="G9" s="130">
        <v>68</v>
      </c>
      <c r="H9" s="35"/>
      <c r="K9" s="1"/>
      <c r="L9" s="29"/>
      <c r="M9" s="1"/>
      <c r="N9" s="1"/>
      <c r="O9" s="1"/>
    </row>
    <row r="10" spans="1:15" x14ac:dyDescent="0.2">
      <c r="A10" s="52">
        <v>9</v>
      </c>
      <c r="B10" s="303" t="s">
        <v>59</v>
      </c>
      <c r="C10" s="273" t="s">
        <v>46</v>
      </c>
      <c r="D10" s="262">
        <f>'Instituciniai v.'!D46</f>
        <v>0.27999999999999997</v>
      </c>
      <c r="E10" s="263">
        <v>1</v>
      </c>
      <c r="F10" s="268">
        <f>D10*$J$3*4</f>
        <v>0.14543151227236686</v>
      </c>
      <c r="G10" s="264">
        <v>40</v>
      </c>
      <c r="H10" s="35"/>
      <c r="K10" s="1"/>
      <c r="L10" s="29"/>
      <c r="M10" s="1"/>
      <c r="N10" s="1"/>
      <c r="O10" s="1"/>
    </row>
    <row r="11" spans="1:15" x14ac:dyDescent="0.2">
      <c r="A11" s="52">
        <v>10</v>
      </c>
      <c r="B11" s="304"/>
      <c r="C11" s="149" t="s">
        <v>60</v>
      </c>
      <c r="D11" s="92">
        <f>'Instituciniai v.'!E46</f>
        <v>0.27777777777777773</v>
      </c>
      <c r="E11" s="70">
        <v>2</v>
      </c>
      <c r="F11" s="269">
        <f>D11*$J$3*4</f>
        <v>0.14427729392099889</v>
      </c>
      <c r="G11" s="126">
        <v>44</v>
      </c>
      <c r="H11" s="35"/>
      <c r="K11" s="1"/>
      <c r="L11" s="29"/>
      <c r="M11" s="1"/>
      <c r="N11" s="1"/>
      <c r="O11" s="1"/>
    </row>
    <row r="12" spans="1:15" x14ac:dyDescent="0.2">
      <c r="A12" s="52">
        <v>11</v>
      </c>
      <c r="B12" s="304"/>
      <c r="C12" s="149" t="s">
        <v>61</v>
      </c>
      <c r="D12" s="92">
        <f>'Instituciniai v.'!F46</f>
        <v>0.21555555555555558</v>
      </c>
      <c r="E12" s="70">
        <v>4</v>
      </c>
      <c r="F12" s="269">
        <f>D12*$J$3*4</f>
        <v>0.11195918008269516</v>
      </c>
      <c r="G12" s="126">
        <v>71</v>
      </c>
      <c r="H12" s="35"/>
      <c r="K12" s="1"/>
      <c r="L12" s="29"/>
      <c r="M12" s="1"/>
      <c r="N12" s="1"/>
      <c r="O12" s="1"/>
    </row>
    <row r="13" spans="1:15" ht="13.5" thickBot="1" x14ac:dyDescent="0.25">
      <c r="A13" s="52">
        <v>12</v>
      </c>
      <c r="B13" s="305"/>
      <c r="C13" s="274" t="s">
        <v>27</v>
      </c>
      <c r="D13" s="265">
        <f>'Instituciniai v.'!G46</f>
        <v>0.22666666666666666</v>
      </c>
      <c r="E13" s="172">
        <v>3</v>
      </c>
      <c r="F13" s="270">
        <f>D13*$J$3*4</f>
        <v>0.11773027183953509</v>
      </c>
      <c r="G13" s="130">
        <v>70</v>
      </c>
      <c r="H13" s="35"/>
      <c r="K13" s="1"/>
      <c r="L13" s="29"/>
      <c r="M13" s="1"/>
      <c r="N13" s="1"/>
      <c r="O13" s="1"/>
    </row>
    <row r="14" spans="1:15" x14ac:dyDescent="0.2">
      <c r="A14" s="52">
        <v>13</v>
      </c>
      <c r="B14" s="303" t="s">
        <v>62</v>
      </c>
      <c r="C14" s="273" t="s">
        <v>47</v>
      </c>
      <c r="D14" s="262">
        <f>'Su projektu susije v. '!D46</f>
        <v>6.518677147806709E-2</v>
      </c>
      <c r="E14" s="263">
        <v>1</v>
      </c>
      <c r="F14" s="268">
        <f t="shared" ref="F14:F29" si="1">D14*$K$3*16</f>
        <v>0.15752179457724552</v>
      </c>
      <c r="G14" s="264">
        <v>5</v>
      </c>
      <c r="H14" s="35"/>
      <c r="K14" s="1"/>
      <c r="L14" s="29"/>
      <c r="M14" s="1"/>
      <c r="N14" s="1"/>
      <c r="O14" s="1"/>
    </row>
    <row r="15" spans="1:15" x14ac:dyDescent="0.2">
      <c r="A15" s="52">
        <v>14</v>
      </c>
      <c r="B15" s="304"/>
      <c r="C15" s="149" t="s">
        <v>48</v>
      </c>
      <c r="D15" s="92">
        <f>'Su projektu susije v. '!E46</f>
        <v>6.2644833860001914E-2</v>
      </c>
      <c r="E15" s="70">
        <v>8</v>
      </c>
      <c r="F15" s="269">
        <f t="shared" si="1"/>
        <v>0.15137928182163593</v>
      </c>
      <c r="G15" s="126">
        <v>24</v>
      </c>
      <c r="H15" s="35"/>
      <c r="K15" s="1"/>
      <c r="L15" s="29"/>
      <c r="M15" s="1"/>
      <c r="N15" s="1"/>
      <c r="O15" s="1"/>
    </row>
    <row r="16" spans="1:15" x14ac:dyDescent="0.2">
      <c r="A16" s="52">
        <v>15</v>
      </c>
      <c r="B16" s="304"/>
      <c r="C16" s="149" t="s">
        <v>63</v>
      </c>
      <c r="D16" s="92">
        <f>'Su projektu susije v. '!F46</f>
        <v>6.5082308288283583E-2</v>
      </c>
      <c r="E16" s="70">
        <v>2</v>
      </c>
      <c r="F16" s="269">
        <f t="shared" si="1"/>
        <v>0.15726936254619306</v>
      </c>
      <c r="G16" s="126">
        <v>6</v>
      </c>
      <c r="H16" s="35"/>
      <c r="K16" s="1"/>
      <c r="L16" s="31"/>
      <c r="M16" s="1"/>
      <c r="N16" s="1"/>
      <c r="O16" s="1"/>
    </row>
    <row r="17" spans="1:15" x14ac:dyDescent="0.2">
      <c r="A17" s="52">
        <v>16</v>
      </c>
      <c r="B17" s="304"/>
      <c r="C17" s="149" t="s">
        <v>64</v>
      </c>
      <c r="D17" s="92">
        <f>'Su projektu susije v. '!G46</f>
        <v>6.006807517867558E-2</v>
      </c>
      <c r="E17" s="70">
        <v>14</v>
      </c>
      <c r="F17" s="269">
        <f t="shared" si="1"/>
        <v>0.14515262505567553</v>
      </c>
      <c r="G17" s="126" t="s">
        <v>144</v>
      </c>
      <c r="H17" s="35"/>
      <c r="K17" s="1"/>
      <c r="L17" s="31"/>
      <c r="M17" s="1"/>
      <c r="N17" s="1"/>
      <c r="O17" s="1"/>
    </row>
    <row r="18" spans="1:15" x14ac:dyDescent="0.2">
      <c r="A18" s="52">
        <v>17</v>
      </c>
      <c r="B18" s="304"/>
      <c r="C18" s="149" t="s">
        <v>65</v>
      </c>
      <c r="D18" s="92">
        <f>'Su projektu susije v. '!H46</f>
        <v>6.0015843583783833E-2</v>
      </c>
      <c r="E18" s="70">
        <v>15</v>
      </c>
      <c r="F18" s="269">
        <f t="shared" si="1"/>
        <v>0.1450264090401493</v>
      </c>
      <c r="G18" s="126">
        <v>43</v>
      </c>
      <c r="H18" s="35"/>
      <c r="K18" s="1"/>
      <c r="L18" s="29"/>
      <c r="M18" s="1"/>
      <c r="N18" s="1"/>
      <c r="O18" s="1"/>
    </row>
    <row r="19" spans="1:15" ht="25.5" x14ac:dyDescent="0.2">
      <c r="A19" s="52">
        <v>18</v>
      </c>
      <c r="B19" s="304"/>
      <c r="C19" s="149" t="s">
        <v>66</v>
      </c>
      <c r="D19" s="92">
        <f>'Su projektu susije v. '!I46</f>
        <v>6.2923402366091244E-2</v>
      </c>
      <c r="E19" s="70">
        <v>7</v>
      </c>
      <c r="F19" s="269">
        <f t="shared" si="1"/>
        <v>0.15205243390444245</v>
      </c>
      <c r="G19" s="126">
        <v>22</v>
      </c>
      <c r="H19" s="35"/>
      <c r="K19" s="1"/>
      <c r="L19" s="29"/>
      <c r="M19" s="1"/>
      <c r="N19" s="1"/>
      <c r="O19" s="1"/>
    </row>
    <row r="20" spans="1:15" x14ac:dyDescent="0.2">
      <c r="A20" s="19">
        <v>19</v>
      </c>
      <c r="B20" s="304"/>
      <c r="C20" s="149" t="s">
        <v>67</v>
      </c>
      <c r="D20" s="266">
        <f>'Su projektu susije v. '!J46</f>
        <v>6.473409765567191E-2</v>
      </c>
      <c r="E20" s="70">
        <v>3</v>
      </c>
      <c r="F20" s="269">
        <f t="shared" si="1"/>
        <v>0.15642792244268489</v>
      </c>
      <c r="G20" s="126">
        <v>7</v>
      </c>
      <c r="H20" s="35"/>
      <c r="K20" s="1"/>
      <c r="L20" s="29"/>
      <c r="M20" s="1"/>
      <c r="N20" s="1"/>
      <c r="O20" s="1"/>
    </row>
    <row r="21" spans="1:15" x14ac:dyDescent="0.2">
      <c r="A21" s="19">
        <v>20</v>
      </c>
      <c r="B21" s="304"/>
      <c r="C21" s="149" t="s">
        <v>68</v>
      </c>
      <c r="D21" s="92">
        <f>'Su projektu susije v. '!K46</f>
        <v>6.361982363131459E-2</v>
      </c>
      <c r="E21" s="70">
        <v>5</v>
      </c>
      <c r="F21" s="269">
        <f t="shared" si="1"/>
        <v>0.1537353141114588</v>
      </c>
      <c r="G21" s="126" t="s">
        <v>143</v>
      </c>
      <c r="H21" s="35"/>
      <c r="K21" s="1"/>
      <c r="L21" s="29"/>
      <c r="M21" s="1"/>
      <c r="N21" s="1"/>
      <c r="O21" s="1"/>
    </row>
    <row r="22" spans="1:15" x14ac:dyDescent="0.2">
      <c r="A22" s="19">
        <v>21</v>
      </c>
      <c r="B22" s="304"/>
      <c r="C22" s="149" t="s">
        <v>69</v>
      </c>
      <c r="D22" s="92">
        <f>'Su projektu susije v. '!L46</f>
        <v>6.1269401861185825E-2</v>
      </c>
      <c r="E22" s="70">
        <v>13</v>
      </c>
      <c r="F22" s="269">
        <f t="shared" si="1"/>
        <v>0.14805559341277869</v>
      </c>
      <c r="G22" s="126">
        <v>34</v>
      </c>
      <c r="H22" s="35"/>
      <c r="K22" s="1"/>
      <c r="L22" s="29"/>
      <c r="M22" s="1"/>
      <c r="N22" s="1"/>
      <c r="O22" s="1"/>
    </row>
    <row r="23" spans="1:15" x14ac:dyDescent="0.2">
      <c r="A23" s="19">
        <v>22</v>
      </c>
      <c r="B23" s="304"/>
      <c r="C23" s="149" t="s">
        <v>70</v>
      </c>
      <c r="D23" s="266">
        <f>'Su projektu susije v. '!M46</f>
        <v>6.1965823126409164E-2</v>
      </c>
      <c r="E23" s="70">
        <v>10</v>
      </c>
      <c r="F23" s="269">
        <f t="shared" si="1"/>
        <v>0.149738473619795</v>
      </c>
      <c r="G23" s="126" t="s">
        <v>140</v>
      </c>
      <c r="H23" s="35"/>
      <c r="K23" s="1"/>
      <c r="L23" s="31"/>
      <c r="M23" s="1"/>
      <c r="N23" s="1"/>
      <c r="O23" s="1"/>
    </row>
    <row r="24" spans="1:15" x14ac:dyDescent="0.2">
      <c r="A24" s="19">
        <v>23</v>
      </c>
      <c r="B24" s="304"/>
      <c r="C24" s="149" t="s">
        <v>71</v>
      </c>
      <c r="D24" s="92">
        <f>'Su projektu susije v. '!N46</f>
        <v>6.2052875784562082E-2</v>
      </c>
      <c r="E24" s="70">
        <v>9</v>
      </c>
      <c r="F24" s="269">
        <f t="shared" si="1"/>
        <v>0.14994883364567205</v>
      </c>
      <c r="G24" s="126">
        <v>27</v>
      </c>
      <c r="H24" s="35"/>
      <c r="K24" s="1"/>
      <c r="L24" s="31"/>
      <c r="M24" s="1"/>
      <c r="N24" s="1"/>
      <c r="O24" s="1"/>
    </row>
    <row r="25" spans="1:15" x14ac:dyDescent="0.2">
      <c r="A25" s="19">
        <v>24</v>
      </c>
      <c r="B25" s="304"/>
      <c r="C25" s="149" t="s">
        <v>72</v>
      </c>
      <c r="D25" s="92">
        <f>'Su projektu susije v. '!O46</f>
        <v>6.1373865050969333E-2</v>
      </c>
      <c r="E25" s="70">
        <v>12</v>
      </c>
      <c r="F25" s="269">
        <f t="shared" si="1"/>
        <v>0.14830802544383115</v>
      </c>
      <c r="G25" s="126">
        <v>33</v>
      </c>
      <c r="H25" s="35"/>
      <c r="K25" s="1"/>
      <c r="L25" s="29"/>
      <c r="M25" s="1"/>
      <c r="N25" s="1"/>
      <c r="O25" s="1"/>
    </row>
    <row r="26" spans="1:15" x14ac:dyDescent="0.2">
      <c r="A26" s="19">
        <v>25</v>
      </c>
      <c r="B26" s="304"/>
      <c r="C26" s="149" t="s">
        <v>73</v>
      </c>
      <c r="D26" s="92">
        <f>'Su projektu susije v. '!P46</f>
        <v>5.9336832850191083E-2</v>
      </c>
      <c r="E26" s="70">
        <v>16</v>
      </c>
      <c r="F26" s="269">
        <f t="shared" si="1"/>
        <v>0.1433856008383084</v>
      </c>
      <c r="G26" s="126" t="s">
        <v>145</v>
      </c>
      <c r="H26" s="35"/>
      <c r="K26" s="1"/>
      <c r="L26" s="29"/>
      <c r="M26" s="1"/>
      <c r="N26" s="1"/>
      <c r="O26" s="1"/>
    </row>
    <row r="27" spans="1:15" x14ac:dyDescent="0.2">
      <c r="A27" s="19">
        <v>26</v>
      </c>
      <c r="B27" s="304"/>
      <c r="C27" s="149" t="s">
        <v>74</v>
      </c>
      <c r="D27" s="92">
        <f>'Su projektu susije v. '!Q46</f>
        <v>6.3080097150766498E-2</v>
      </c>
      <c r="E27" s="70">
        <v>6</v>
      </c>
      <c r="F27" s="269">
        <f t="shared" si="1"/>
        <v>0.15243108195102112</v>
      </c>
      <c r="G27" s="126">
        <v>21</v>
      </c>
      <c r="H27" s="35"/>
      <c r="K27" s="1"/>
      <c r="L27" s="29"/>
      <c r="M27" s="1"/>
      <c r="N27" s="1"/>
      <c r="O27" s="1"/>
    </row>
    <row r="28" spans="1:15" x14ac:dyDescent="0.2">
      <c r="A28" s="19">
        <v>27</v>
      </c>
      <c r="B28" s="304"/>
      <c r="C28" s="149" t="s">
        <v>75</v>
      </c>
      <c r="D28" s="92">
        <f>'Su projektu susije v. '!R46</f>
        <v>6.1965823126409164E-2</v>
      </c>
      <c r="E28" s="70">
        <v>11</v>
      </c>
      <c r="F28" s="269">
        <f t="shared" si="1"/>
        <v>0.149738473619795</v>
      </c>
      <c r="G28" s="126" t="s">
        <v>140</v>
      </c>
      <c r="H28" s="35"/>
      <c r="K28" s="1"/>
      <c r="L28" s="29"/>
      <c r="M28" s="1"/>
      <c r="N28" s="1"/>
      <c r="O28" s="1"/>
    </row>
    <row r="29" spans="1:15" ht="13.5" thickBot="1" x14ac:dyDescent="0.25">
      <c r="A29" s="19">
        <v>28</v>
      </c>
      <c r="B29" s="305"/>
      <c r="C29" s="275" t="s">
        <v>76</v>
      </c>
      <c r="D29" s="265">
        <f>'Su projektu susije v. '!S46</f>
        <v>6.4680125007617106E-2</v>
      </c>
      <c r="E29" s="172">
        <v>4</v>
      </c>
      <c r="F29" s="270">
        <f t="shared" si="1"/>
        <v>0.15629749922664113</v>
      </c>
      <c r="G29" s="130">
        <v>8</v>
      </c>
      <c r="H29" s="35"/>
      <c r="K29" s="1"/>
      <c r="L29" s="29"/>
      <c r="M29" s="1"/>
      <c r="N29" s="1"/>
      <c r="O29" s="1"/>
    </row>
    <row r="30" spans="1:15" x14ac:dyDescent="0.2">
      <c r="A30" s="19">
        <v>29</v>
      </c>
      <c r="B30" s="303" t="s">
        <v>77</v>
      </c>
      <c r="C30" s="273" t="s">
        <v>78</v>
      </c>
      <c r="D30" s="262">
        <f>'Su proj.vald_komand sus.v.'!D46</f>
        <v>9.7320525783619813E-2</v>
      </c>
      <c r="E30" s="263">
        <v>1</v>
      </c>
      <c r="F30" s="268">
        <f t="shared" ref="F30:F40" si="2">D30*$L$3*11</f>
        <v>0.16613068376047821</v>
      </c>
      <c r="G30" s="264">
        <v>1</v>
      </c>
      <c r="H30" s="35"/>
      <c r="K30" s="1"/>
      <c r="L30" s="29"/>
      <c r="M30" s="1"/>
      <c r="N30" s="1"/>
      <c r="O30" s="1"/>
    </row>
    <row r="31" spans="1:15" x14ac:dyDescent="0.2">
      <c r="A31" s="19">
        <v>30</v>
      </c>
      <c r="B31" s="304"/>
      <c r="C31" s="149" t="s">
        <v>79</v>
      </c>
      <c r="D31" s="92">
        <f>'Su proj.vald_komand sus.v.'!E46</f>
        <v>9.5096056622851366E-2</v>
      </c>
      <c r="E31" s="70">
        <v>2</v>
      </c>
      <c r="F31" s="269">
        <f t="shared" si="2"/>
        <v>0.16233341098881013</v>
      </c>
      <c r="G31" s="126">
        <v>2</v>
      </c>
      <c r="H31" s="35"/>
      <c r="K31" s="1"/>
      <c r="L31" s="29"/>
      <c r="M31" s="1"/>
      <c r="N31" s="1"/>
      <c r="O31" s="1"/>
    </row>
    <row r="32" spans="1:15" x14ac:dyDescent="0.2">
      <c r="A32" s="19">
        <v>31</v>
      </c>
      <c r="B32" s="304"/>
      <c r="C32" s="149" t="s">
        <v>80</v>
      </c>
      <c r="D32" s="92">
        <f>'Su proj.vald_komand sus.v.'!F46</f>
        <v>8.8624873609706764E-2</v>
      </c>
      <c r="E32" s="70">
        <v>9</v>
      </c>
      <c r="F32" s="269">
        <f t="shared" si="2"/>
        <v>0.1512867992894121</v>
      </c>
      <c r="G32" s="126">
        <v>25</v>
      </c>
      <c r="H32" s="35"/>
      <c r="K32" s="1"/>
      <c r="L32" s="29"/>
      <c r="M32" s="1"/>
      <c r="N32" s="1"/>
      <c r="O32" s="1"/>
    </row>
    <row r="33" spans="1:15" x14ac:dyDescent="0.2">
      <c r="A33" s="19">
        <v>32</v>
      </c>
      <c r="B33" s="304"/>
      <c r="C33" s="149" t="s">
        <v>81</v>
      </c>
      <c r="D33" s="92">
        <f>'Su proj.vald_komand sus.v.'!G46</f>
        <v>9.4186046511627902E-2</v>
      </c>
      <c r="E33" s="70">
        <v>3</v>
      </c>
      <c r="F33" s="269">
        <f t="shared" si="2"/>
        <v>0.16077998121858228</v>
      </c>
      <c r="G33" s="126">
        <v>3</v>
      </c>
      <c r="H33" s="35"/>
      <c r="K33" s="1"/>
      <c r="L33" s="29"/>
      <c r="M33" s="1"/>
      <c r="N33" s="1"/>
      <c r="O33" s="1"/>
    </row>
    <row r="34" spans="1:15" x14ac:dyDescent="0.2">
      <c r="A34" s="19">
        <v>33</v>
      </c>
      <c r="B34" s="304"/>
      <c r="C34" s="149" t="s">
        <v>82</v>
      </c>
      <c r="D34" s="92">
        <f>'Su proj.vald_komand sus.v.'!H46</f>
        <v>8.9838220424671378E-2</v>
      </c>
      <c r="E34" s="70">
        <v>7</v>
      </c>
      <c r="F34" s="269">
        <f t="shared" si="2"/>
        <v>0.15335803898304923</v>
      </c>
      <c r="G34" s="126">
        <v>16</v>
      </c>
      <c r="H34" s="35"/>
      <c r="K34" s="1"/>
      <c r="L34" s="29"/>
      <c r="M34" s="1"/>
      <c r="N34" s="1"/>
      <c r="O34" s="1"/>
    </row>
    <row r="35" spans="1:15" x14ac:dyDescent="0.2">
      <c r="A35" s="19">
        <v>34</v>
      </c>
      <c r="B35" s="304"/>
      <c r="C35" s="149" t="s">
        <v>83</v>
      </c>
      <c r="D35" s="92">
        <f>'Su proj.vald_komand sus.v.'!I46</f>
        <v>8.7765419615773513E-2</v>
      </c>
      <c r="E35" s="70">
        <v>10</v>
      </c>
      <c r="F35" s="269">
        <f t="shared" si="2"/>
        <v>0.14981967117308584</v>
      </c>
      <c r="G35" s="126">
        <v>28</v>
      </c>
      <c r="H35" s="35"/>
      <c r="K35" s="1"/>
      <c r="L35" s="29"/>
      <c r="M35" s="1"/>
      <c r="N35" s="1"/>
      <c r="O35" s="1"/>
    </row>
    <row r="36" spans="1:15" x14ac:dyDescent="0.2">
      <c r="A36" s="19">
        <v>35</v>
      </c>
      <c r="B36" s="304"/>
      <c r="C36" s="149" t="s">
        <v>84</v>
      </c>
      <c r="D36" s="92">
        <f>'Su proj.vald_komand sus.v.'!J46</f>
        <v>9.0899898887765423E-2</v>
      </c>
      <c r="E36" s="70">
        <v>6</v>
      </c>
      <c r="F36" s="269">
        <f t="shared" si="2"/>
        <v>0.15517037371498174</v>
      </c>
      <c r="G36" s="126">
        <v>13</v>
      </c>
      <c r="H36" s="35"/>
      <c r="K36" s="1"/>
      <c r="L36" s="29"/>
      <c r="M36" s="1"/>
      <c r="N36" s="1"/>
      <c r="O36" s="1"/>
    </row>
    <row r="37" spans="1:15" x14ac:dyDescent="0.2">
      <c r="A37" s="19">
        <v>36</v>
      </c>
      <c r="B37" s="304"/>
      <c r="C37" s="149" t="s">
        <v>85</v>
      </c>
      <c r="D37" s="92">
        <f>'Su proj.vald_komand sus.v.'!K46</f>
        <v>9.1253791708796758E-2</v>
      </c>
      <c r="E37" s="70">
        <v>4</v>
      </c>
      <c r="F37" s="269">
        <f t="shared" si="2"/>
        <v>0.15577448529229254</v>
      </c>
      <c r="G37" s="126">
        <v>9</v>
      </c>
      <c r="H37" s="35"/>
      <c r="K37" s="1"/>
      <c r="L37" s="29"/>
      <c r="M37" s="1"/>
      <c r="N37" s="1"/>
      <c r="O37" s="1"/>
    </row>
    <row r="38" spans="1:15" x14ac:dyDescent="0.2">
      <c r="A38" s="19">
        <v>37</v>
      </c>
      <c r="B38" s="304"/>
      <c r="C38" s="149" t="s">
        <v>86</v>
      </c>
      <c r="D38" s="92">
        <f>'Su proj.vald_komand sus.v.'!L46</f>
        <v>8.9635995955510611E-2</v>
      </c>
      <c r="E38" s="70">
        <v>8</v>
      </c>
      <c r="F38" s="269">
        <f t="shared" si="2"/>
        <v>0.15301283236744304</v>
      </c>
      <c r="G38" s="126">
        <v>17</v>
      </c>
      <c r="H38" s="35"/>
      <c r="K38" s="1"/>
      <c r="L38" s="29"/>
      <c r="M38" s="1"/>
      <c r="N38" s="1"/>
      <c r="O38" s="1"/>
    </row>
    <row r="39" spans="1:15" x14ac:dyDescent="0.2">
      <c r="A39" s="19">
        <v>38</v>
      </c>
      <c r="B39" s="304"/>
      <c r="C39" s="149" t="s">
        <v>87</v>
      </c>
      <c r="D39" s="92">
        <f>'Su proj.vald_komand sus.v.'!M46</f>
        <v>9.1203235591506573E-2</v>
      </c>
      <c r="E39" s="70">
        <v>5</v>
      </c>
      <c r="F39" s="269">
        <f t="shared" si="2"/>
        <v>0.15568818363839101</v>
      </c>
      <c r="G39" s="126" t="s">
        <v>142</v>
      </c>
      <c r="H39" s="35"/>
      <c r="K39" s="1"/>
      <c r="L39" s="29"/>
      <c r="M39" s="1"/>
      <c r="N39" s="1"/>
      <c r="O39" s="1"/>
    </row>
    <row r="40" spans="1:15" ht="26.25" thickBot="1" x14ac:dyDescent="0.25">
      <c r="A40" s="19">
        <v>39</v>
      </c>
      <c r="B40" s="305"/>
      <c r="C40" s="274" t="s">
        <v>88</v>
      </c>
      <c r="D40" s="265">
        <f>'Su proj.vald_komand sus.v.'!N46</f>
        <v>8.417593528816987E-2</v>
      </c>
      <c r="E40" s="172">
        <v>11</v>
      </c>
      <c r="F40" s="270">
        <f t="shared" si="2"/>
        <v>0.14369225374607597</v>
      </c>
      <c r="G40" s="130">
        <v>47</v>
      </c>
      <c r="H40" s="35"/>
      <c r="K40" s="1"/>
      <c r="L40" s="29"/>
      <c r="M40" s="1"/>
      <c r="N40" s="1"/>
      <c r="O40" s="1"/>
    </row>
    <row r="41" spans="1:15" x14ac:dyDescent="0.2">
      <c r="A41" s="19">
        <v>40</v>
      </c>
      <c r="B41" s="303" t="s">
        <v>89</v>
      </c>
      <c r="C41" s="273" t="s">
        <v>79</v>
      </c>
      <c r="D41" s="262">
        <f>'Su pr.vadovu susije v. '!D46</f>
        <v>8.046398046398047E-2</v>
      </c>
      <c r="E41" s="263">
        <v>2</v>
      </c>
      <c r="F41" s="268">
        <f t="shared" ref="F41:F53" si="3">D41*$M$3*13</f>
        <v>0.1557038545162065</v>
      </c>
      <c r="G41" s="267" t="s">
        <v>142</v>
      </c>
      <c r="H41" s="35"/>
      <c r="K41" s="1"/>
      <c r="L41" s="29"/>
      <c r="M41" s="8"/>
      <c r="N41" s="1"/>
      <c r="O41" s="1"/>
    </row>
    <row r="42" spans="1:15" x14ac:dyDescent="0.2">
      <c r="A42" s="19">
        <v>41</v>
      </c>
      <c r="B42" s="304"/>
      <c r="C42" s="276" t="s">
        <v>49</v>
      </c>
      <c r="D42" s="92">
        <f>'Su pr.vadovu susije v. '!E46</f>
        <v>8.1532356532356534E-2</v>
      </c>
      <c r="E42" s="70">
        <v>1</v>
      </c>
      <c r="F42" s="269">
        <f t="shared" si="3"/>
        <v>0.1577712425693428</v>
      </c>
      <c r="G42" s="126">
        <v>4</v>
      </c>
      <c r="H42" s="35"/>
      <c r="L42" s="34"/>
      <c r="M42" s="8"/>
    </row>
    <row r="43" spans="1:15" x14ac:dyDescent="0.2">
      <c r="A43" s="19">
        <v>42</v>
      </c>
      <c r="B43" s="304"/>
      <c r="C43" s="149" t="s">
        <v>90</v>
      </c>
      <c r="D43" s="92">
        <f>'Su pr.vadovu susije v. '!F46</f>
        <v>8.0372405372405378E-2</v>
      </c>
      <c r="E43" s="70">
        <v>3</v>
      </c>
      <c r="F43" s="269">
        <f t="shared" si="3"/>
        <v>0.1555266498259377</v>
      </c>
      <c r="G43" s="126">
        <v>12</v>
      </c>
      <c r="H43" s="35"/>
      <c r="L43" s="34"/>
      <c r="M43" s="8"/>
    </row>
    <row r="44" spans="1:15" x14ac:dyDescent="0.2">
      <c r="A44" s="19">
        <v>43</v>
      </c>
      <c r="B44" s="304"/>
      <c r="C44" s="149" t="s">
        <v>91</v>
      </c>
      <c r="D44" s="92">
        <f>'Su pr.vadovu susije v. '!G46</f>
        <v>7.6007326007326001E-2</v>
      </c>
      <c r="E44" s="70">
        <v>8</v>
      </c>
      <c r="F44" s="269">
        <f t="shared" si="3"/>
        <v>0.14707989292312373</v>
      </c>
      <c r="G44" s="126">
        <v>36</v>
      </c>
      <c r="H44" s="35"/>
      <c r="L44" s="34"/>
      <c r="M44" s="8"/>
    </row>
    <row r="45" spans="1:15" x14ac:dyDescent="0.2">
      <c r="A45" s="19">
        <v>44</v>
      </c>
      <c r="B45" s="304"/>
      <c r="C45" s="149" t="s">
        <v>92</v>
      </c>
      <c r="D45" s="92">
        <f>'Su pr.vadovu susije v. '!H46</f>
        <v>7.5427350427350423E-2</v>
      </c>
      <c r="E45" s="70">
        <v>10</v>
      </c>
      <c r="F45" s="269">
        <f t="shared" si="3"/>
        <v>0.14595759655142121</v>
      </c>
      <c r="G45" s="126">
        <v>39</v>
      </c>
      <c r="H45" s="35"/>
      <c r="L45" s="34"/>
      <c r="M45" s="8"/>
    </row>
    <row r="46" spans="1:15" x14ac:dyDescent="0.2">
      <c r="A46" s="19">
        <v>45</v>
      </c>
      <c r="B46" s="304"/>
      <c r="C46" s="149" t="s">
        <v>93</v>
      </c>
      <c r="D46" s="92">
        <f>'Su pr.vadovu susije v. '!I46</f>
        <v>7.8846153846153844E-2</v>
      </c>
      <c r="E46" s="70">
        <v>4</v>
      </c>
      <c r="F46" s="269">
        <f t="shared" si="3"/>
        <v>0.15257323832145728</v>
      </c>
      <c r="G46" s="126" t="s">
        <v>141</v>
      </c>
      <c r="H46" s="35"/>
      <c r="L46" s="34"/>
      <c r="M46" s="8"/>
    </row>
    <row r="47" spans="1:15" ht="25.5" x14ac:dyDescent="0.2">
      <c r="A47" s="19">
        <v>46</v>
      </c>
      <c r="B47" s="304"/>
      <c r="C47" s="149" t="s">
        <v>94</v>
      </c>
      <c r="D47" s="92">
        <f>'Su pr.vadovu susije v. '!J46</f>
        <v>7.783882783882784E-2</v>
      </c>
      <c r="E47" s="70">
        <v>5</v>
      </c>
      <c r="F47" s="269">
        <f t="shared" si="3"/>
        <v>0.15062398672850025</v>
      </c>
      <c r="G47" s="126">
        <v>26</v>
      </c>
      <c r="H47" s="35"/>
      <c r="L47" s="34"/>
      <c r="M47" s="8"/>
    </row>
    <row r="48" spans="1:15" x14ac:dyDescent="0.2">
      <c r="A48" s="19">
        <v>47</v>
      </c>
      <c r="B48" s="304"/>
      <c r="C48" s="149" t="s">
        <v>95</v>
      </c>
      <c r="D48" s="92">
        <f>'Su pr.vadovu susije v. '!K46</f>
        <v>7.640415140415141E-2</v>
      </c>
      <c r="E48" s="70">
        <v>7</v>
      </c>
      <c r="F48" s="269">
        <f t="shared" si="3"/>
        <v>0.14784777991428866</v>
      </c>
      <c r="G48" s="126">
        <v>35</v>
      </c>
      <c r="H48" s="35"/>
      <c r="L48" s="34"/>
      <c r="M48" s="8"/>
    </row>
    <row r="49" spans="1:15" ht="25.5" x14ac:dyDescent="0.2">
      <c r="A49" s="19">
        <v>48</v>
      </c>
      <c r="B49" s="304"/>
      <c r="C49" s="149" t="s">
        <v>96</v>
      </c>
      <c r="D49" s="92">
        <f>'Su pr.vadovu susije v. '!L46</f>
        <v>7.6984126984126988E-2</v>
      </c>
      <c r="E49" s="70">
        <v>6</v>
      </c>
      <c r="F49" s="269">
        <f t="shared" si="3"/>
        <v>0.14897007628599121</v>
      </c>
      <c r="G49" s="126">
        <v>31</v>
      </c>
      <c r="H49" s="35"/>
      <c r="L49" s="34"/>
      <c r="M49" s="8"/>
    </row>
    <row r="50" spans="1:15" x14ac:dyDescent="0.2">
      <c r="A50" s="19">
        <v>49</v>
      </c>
      <c r="B50" s="304"/>
      <c r="C50" s="149" t="s">
        <v>97</v>
      </c>
      <c r="D50" s="92">
        <f>'Su pr.vadovu susije v. '!M46</f>
        <v>7.5824175824175818E-2</v>
      </c>
      <c r="E50" s="70">
        <v>9</v>
      </c>
      <c r="F50" s="269">
        <f t="shared" si="3"/>
        <v>0.1467254835425861</v>
      </c>
      <c r="G50" s="126">
        <v>37</v>
      </c>
      <c r="H50" s="35"/>
      <c r="K50" s="1"/>
      <c r="L50" s="29"/>
      <c r="M50" s="8"/>
      <c r="N50" s="1"/>
      <c r="O50" s="1"/>
    </row>
    <row r="51" spans="1:15" x14ac:dyDescent="0.2">
      <c r="A51" s="19">
        <v>50</v>
      </c>
      <c r="B51" s="304"/>
      <c r="C51" s="149" t="s">
        <v>98</v>
      </c>
      <c r="D51" s="92">
        <f>'Su pr.vadovu susije v. '!N46</f>
        <v>7.3504273504273507E-2</v>
      </c>
      <c r="E51" s="70">
        <v>12</v>
      </c>
      <c r="F51" s="269">
        <f t="shared" si="3"/>
        <v>0.14223629805577592</v>
      </c>
      <c r="G51" s="126" t="s">
        <v>146</v>
      </c>
      <c r="H51" s="35"/>
      <c r="K51" s="1"/>
      <c r="L51" s="29"/>
      <c r="M51" s="8"/>
      <c r="N51" s="1"/>
      <c r="O51" s="1"/>
    </row>
    <row r="52" spans="1:15" x14ac:dyDescent="0.2">
      <c r="A52" s="19">
        <v>51</v>
      </c>
      <c r="B52" s="304"/>
      <c r="C52" s="149" t="s">
        <v>99</v>
      </c>
      <c r="D52" s="92">
        <f>'Su pr.vadovu susije v. '!O46</f>
        <v>7.3931623931623933E-2</v>
      </c>
      <c r="E52" s="70">
        <v>11</v>
      </c>
      <c r="F52" s="269">
        <f t="shared" si="3"/>
        <v>0.14306325327703043</v>
      </c>
      <c r="G52" s="126">
        <v>50</v>
      </c>
      <c r="H52" s="35"/>
      <c r="K52" s="1"/>
      <c r="L52" s="29"/>
      <c r="M52" s="8"/>
      <c r="N52" s="1"/>
      <c r="O52" s="1"/>
    </row>
    <row r="53" spans="1:15" ht="13.5" thickBot="1" x14ac:dyDescent="0.25">
      <c r="A53" s="19">
        <v>52</v>
      </c>
      <c r="B53" s="305"/>
      <c r="C53" s="274" t="s">
        <v>100</v>
      </c>
      <c r="D53" s="265">
        <f>'Su pr.vadovu susije v. '!P46</f>
        <v>7.2863247863247868E-2</v>
      </c>
      <c r="E53" s="172">
        <v>13</v>
      </c>
      <c r="F53" s="270">
        <f t="shared" si="3"/>
        <v>0.14099586522389415</v>
      </c>
      <c r="G53" s="130">
        <v>53</v>
      </c>
      <c r="H53" s="35"/>
      <c r="K53" s="1"/>
      <c r="L53" s="29"/>
      <c r="M53" s="8"/>
      <c r="N53" s="1"/>
      <c r="O53" s="1"/>
    </row>
    <row r="54" spans="1:15" x14ac:dyDescent="0.2">
      <c r="A54" s="19">
        <v>53</v>
      </c>
      <c r="B54" s="303" t="s">
        <v>101</v>
      </c>
      <c r="C54" s="273" t="s">
        <v>49</v>
      </c>
      <c r="D54" s="262">
        <f>'Su statytoju susije v.'!D46</f>
        <v>0.1361111111111111</v>
      </c>
      <c r="E54" s="263">
        <v>1</v>
      </c>
      <c r="F54" s="268">
        <f t="shared" ref="F54:F61" si="4">D54*$N$3*8</f>
        <v>0.15367731151579131</v>
      </c>
      <c r="G54" s="264" t="s">
        <v>143</v>
      </c>
      <c r="H54" s="35"/>
      <c r="K54" s="1"/>
      <c r="L54" s="29"/>
      <c r="M54" s="8"/>
      <c r="N54" s="1"/>
      <c r="O54" s="1"/>
    </row>
    <row r="55" spans="1:15" x14ac:dyDescent="0.2">
      <c r="A55" s="19">
        <v>54</v>
      </c>
      <c r="B55" s="304"/>
      <c r="C55" s="149" t="s">
        <v>102</v>
      </c>
      <c r="D55" s="92">
        <f>'Su statytoju susije v.'!E46</f>
        <v>0.11865079365079366</v>
      </c>
      <c r="E55" s="70">
        <v>6</v>
      </c>
      <c r="F55" s="269">
        <f t="shared" si="4"/>
        <v>0.13396360391609799</v>
      </c>
      <c r="G55" s="126">
        <v>62</v>
      </c>
      <c r="H55" s="35"/>
      <c r="K55" s="1"/>
      <c r="L55" s="29"/>
      <c r="M55" s="8"/>
      <c r="N55" s="1"/>
      <c r="O55" s="1"/>
    </row>
    <row r="56" spans="1:15" x14ac:dyDescent="0.2">
      <c r="A56" s="19">
        <v>55</v>
      </c>
      <c r="B56" s="304"/>
      <c r="C56" s="149" t="s">
        <v>103</v>
      </c>
      <c r="D56" s="92">
        <f>'Su statytoju susije v.'!F46</f>
        <v>0.11785714285714285</v>
      </c>
      <c r="E56" s="70">
        <v>7</v>
      </c>
      <c r="F56" s="269">
        <f t="shared" si="4"/>
        <v>0.13306752629793009</v>
      </c>
      <c r="G56" s="126">
        <v>63</v>
      </c>
      <c r="H56" s="35"/>
      <c r="K56" s="1"/>
      <c r="L56" s="29"/>
      <c r="M56" s="8"/>
      <c r="N56" s="1"/>
      <c r="O56" s="1"/>
    </row>
    <row r="57" spans="1:15" x14ac:dyDescent="0.2">
      <c r="A57" s="19">
        <v>56</v>
      </c>
      <c r="B57" s="304"/>
      <c r="C57" s="149" t="s">
        <v>104</v>
      </c>
      <c r="D57" s="92">
        <f>'Su statytoju susije v.'!G46</f>
        <v>0.11693121693121693</v>
      </c>
      <c r="E57" s="70">
        <v>8</v>
      </c>
      <c r="F57" s="269">
        <f t="shared" si="4"/>
        <v>0.13202210241006757</v>
      </c>
      <c r="G57" s="126">
        <v>65</v>
      </c>
      <c r="H57" s="35"/>
      <c r="K57" s="1"/>
      <c r="L57" s="29"/>
      <c r="M57" s="8"/>
      <c r="N57" s="1"/>
      <c r="O57" s="1"/>
    </row>
    <row r="58" spans="1:15" ht="25.5" x14ac:dyDescent="0.2">
      <c r="A58" s="19">
        <v>57</v>
      </c>
      <c r="B58" s="304"/>
      <c r="C58" s="149" t="s">
        <v>105</v>
      </c>
      <c r="D58" s="92">
        <f>'Su statytoju susije v.'!H46</f>
        <v>0.12182539682539682</v>
      </c>
      <c r="E58" s="70">
        <v>5</v>
      </c>
      <c r="F58" s="269">
        <f t="shared" si="4"/>
        <v>0.13754791438876948</v>
      </c>
      <c r="G58" s="126">
        <v>56</v>
      </c>
      <c r="H58" s="35"/>
      <c r="K58" s="1"/>
      <c r="L58" s="29"/>
      <c r="M58" s="8"/>
      <c r="N58" s="1"/>
      <c r="O58" s="1"/>
    </row>
    <row r="59" spans="1:15" x14ac:dyDescent="0.2">
      <c r="A59" s="19">
        <v>58</v>
      </c>
      <c r="B59" s="304"/>
      <c r="C59" s="149" t="s">
        <v>106</v>
      </c>
      <c r="D59" s="92">
        <f>'Su statytoju susije v.'!I46</f>
        <v>0.13505291005291006</v>
      </c>
      <c r="E59" s="70">
        <v>2</v>
      </c>
      <c r="F59" s="269">
        <f t="shared" si="4"/>
        <v>0.15248254135823416</v>
      </c>
      <c r="G59" s="126">
        <v>20</v>
      </c>
      <c r="H59" s="35"/>
      <c r="K59" s="1"/>
      <c r="L59" s="29"/>
      <c r="M59" s="8"/>
      <c r="N59" s="1"/>
      <c r="O59" s="1"/>
    </row>
    <row r="60" spans="1:15" x14ac:dyDescent="0.2">
      <c r="A60" s="19">
        <v>59</v>
      </c>
      <c r="B60" s="304"/>
      <c r="C60" s="149" t="s">
        <v>107</v>
      </c>
      <c r="D60" s="92">
        <f>'Su statytoju susije v.'!J46</f>
        <v>0.12764550264550265</v>
      </c>
      <c r="E60" s="70">
        <v>3</v>
      </c>
      <c r="F60" s="269">
        <f t="shared" si="4"/>
        <v>0.14411915025533392</v>
      </c>
      <c r="G60" s="126">
        <v>46</v>
      </c>
      <c r="H60" s="35"/>
      <c r="K60" s="1"/>
      <c r="L60" s="29"/>
      <c r="M60" s="8"/>
      <c r="N60" s="1"/>
      <c r="O60" s="1"/>
    </row>
    <row r="61" spans="1:15" ht="39" thickBot="1" x14ac:dyDescent="0.25">
      <c r="A61" s="19">
        <v>60</v>
      </c>
      <c r="B61" s="305"/>
      <c r="C61" s="274" t="s">
        <v>108</v>
      </c>
      <c r="D61" s="265">
        <f>'Su statytoju susije v.'!K46</f>
        <v>0.12592592592592594</v>
      </c>
      <c r="E61" s="172">
        <v>4</v>
      </c>
      <c r="F61" s="270">
        <f t="shared" si="4"/>
        <v>0.14217764874930355</v>
      </c>
      <c r="G61" s="130" t="s">
        <v>146</v>
      </c>
      <c r="H61" s="35"/>
      <c r="K61" s="1"/>
      <c r="L61" s="29"/>
      <c r="M61" s="1"/>
      <c r="N61" s="1"/>
      <c r="O61" s="1"/>
    </row>
    <row r="62" spans="1:15" ht="25.5" x14ac:dyDescent="0.2">
      <c r="A62" s="19">
        <v>61</v>
      </c>
      <c r="B62" s="303" t="s">
        <v>109</v>
      </c>
      <c r="C62" s="273" t="s">
        <v>110</v>
      </c>
      <c r="D62" s="262">
        <f>'Su imone_rangovu susije v.'!D46</f>
        <v>9.2222222222222233E-2</v>
      </c>
      <c r="E62" s="263">
        <v>5</v>
      </c>
      <c r="F62" s="268">
        <f t="shared" ref="F62:F72" si="5">D62*$O$3*11</f>
        <v>0.14517880707310601</v>
      </c>
      <c r="G62" s="264" t="s">
        <v>144</v>
      </c>
      <c r="H62" s="35"/>
      <c r="K62" s="1"/>
      <c r="L62" s="29"/>
      <c r="M62" s="8"/>
      <c r="N62" s="1"/>
      <c r="O62" s="1"/>
    </row>
    <row r="63" spans="1:15" x14ac:dyDescent="0.2">
      <c r="A63" s="19">
        <v>62</v>
      </c>
      <c r="B63" s="304"/>
      <c r="C63" s="149" t="s">
        <v>111</v>
      </c>
      <c r="D63" s="92">
        <f>'Su imone_rangovu susije v.'!E46</f>
        <v>9.636363636363636E-2</v>
      </c>
      <c r="E63" s="70">
        <v>2</v>
      </c>
      <c r="F63" s="269">
        <f t="shared" si="5"/>
        <v>0.15169833729216115</v>
      </c>
      <c r="G63" s="126">
        <v>23</v>
      </c>
      <c r="H63" s="35"/>
      <c r="K63" s="1"/>
      <c r="L63" s="29"/>
      <c r="M63" s="8"/>
      <c r="N63" s="1"/>
      <c r="O63" s="1"/>
    </row>
    <row r="64" spans="1:15" x14ac:dyDescent="0.2">
      <c r="A64" s="19">
        <v>63</v>
      </c>
      <c r="B64" s="304"/>
      <c r="C64" s="149" t="s">
        <v>49</v>
      </c>
      <c r="D64" s="92">
        <f>'Su imone_rangovu susije v.'!F46</f>
        <v>9.6919191919191919E-2</v>
      </c>
      <c r="E64" s="70">
        <v>1</v>
      </c>
      <c r="F64" s="269">
        <f t="shared" si="5"/>
        <v>0.15257290841910756</v>
      </c>
      <c r="G64" s="126" t="s">
        <v>141</v>
      </c>
      <c r="H64" s="35"/>
      <c r="K64" s="1"/>
      <c r="L64" s="29"/>
      <c r="M64" s="8"/>
      <c r="N64" s="1"/>
      <c r="O64" s="1"/>
    </row>
    <row r="65" spans="1:15" x14ac:dyDescent="0.2">
      <c r="A65" s="19">
        <v>64</v>
      </c>
      <c r="B65" s="304"/>
      <c r="C65" s="149" t="s">
        <v>112</v>
      </c>
      <c r="D65" s="92">
        <f>'Su imone_rangovu susije v.'!G46</f>
        <v>9.434343434343434E-2</v>
      </c>
      <c r="E65" s="70">
        <v>3</v>
      </c>
      <c r="F65" s="269">
        <f t="shared" si="5"/>
        <v>0.1485180786487196</v>
      </c>
      <c r="G65" s="126">
        <v>32</v>
      </c>
      <c r="H65" s="35"/>
      <c r="K65" s="1"/>
      <c r="L65" s="29"/>
      <c r="M65" s="8"/>
      <c r="N65" s="1"/>
      <c r="O65" s="1"/>
    </row>
    <row r="66" spans="1:15" x14ac:dyDescent="0.2">
      <c r="A66" s="19">
        <v>65</v>
      </c>
      <c r="B66" s="304"/>
      <c r="C66" s="149" t="s">
        <v>113</v>
      </c>
      <c r="D66" s="92">
        <f>'Su imone_rangovu susije v.'!H46</f>
        <v>8.6212121212121212E-2</v>
      </c>
      <c r="E66" s="70">
        <v>11</v>
      </c>
      <c r="F66" s="269">
        <f t="shared" si="5"/>
        <v>0.13571753760886746</v>
      </c>
      <c r="G66" s="126">
        <v>60</v>
      </c>
      <c r="H66" s="35"/>
      <c r="L66" s="34"/>
      <c r="M66" s="8"/>
    </row>
    <row r="67" spans="1:15" x14ac:dyDescent="0.2">
      <c r="A67" s="19">
        <v>66</v>
      </c>
      <c r="B67" s="304"/>
      <c r="C67" s="149" t="s">
        <v>114</v>
      </c>
      <c r="D67" s="92">
        <f>'Su imone_rangovu susije v.'!I46</f>
        <v>8.666666666666667E-2</v>
      </c>
      <c r="E67" s="70">
        <v>10</v>
      </c>
      <c r="F67" s="269">
        <f t="shared" si="5"/>
        <v>0.1364330958036418</v>
      </c>
      <c r="G67" s="126">
        <v>59</v>
      </c>
      <c r="H67" s="35"/>
      <c r="L67" s="34"/>
      <c r="M67" s="8"/>
    </row>
    <row r="68" spans="1:15" x14ac:dyDescent="0.2">
      <c r="A68" s="19">
        <v>67</v>
      </c>
      <c r="B68" s="304"/>
      <c r="C68" s="149" t="s">
        <v>115</v>
      </c>
      <c r="D68" s="92">
        <f>'Su imone_rangovu susije v.'!J46</f>
        <v>9.2929292929292931E-2</v>
      </c>
      <c r="E68" s="70">
        <v>4</v>
      </c>
      <c r="F68" s="269">
        <f t="shared" si="5"/>
        <v>0.14629189759831054</v>
      </c>
      <c r="G68" s="126">
        <v>38</v>
      </c>
      <c r="H68" s="35"/>
      <c r="L68" s="34"/>
      <c r="M68" s="8"/>
    </row>
    <row r="69" spans="1:15" x14ac:dyDescent="0.2">
      <c r="A69" s="19">
        <v>68</v>
      </c>
      <c r="B69" s="304"/>
      <c r="C69" s="149" t="s">
        <v>116</v>
      </c>
      <c r="D69" s="92">
        <f>'Su imone_rangovu susije v.'!K46</f>
        <v>8.7424242424242432E-2</v>
      </c>
      <c r="E69" s="70">
        <v>8</v>
      </c>
      <c r="F69" s="269">
        <f t="shared" si="5"/>
        <v>0.13762569279493236</v>
      </c>
      <c r="G69" s="126">
        <v>55</v>
      </c>
      <c r="H69" s="35"/>
      <c r="L69" s="34"/>
      <c r="M69" s="8"/>
    </row>
    <row r="70" spans="1:15" x14ac:dyDescent="0.2">
      <c r="A70" s="19">
        <v>69</v>
      </c>
      <c r="B70" s="304"/>
      <c r="C70" s="149" t="s">
        <v>117</v>
      </c>
      <c r="D70" s="92">
        <f>'Su imone_rangovu susije v.'!L46</f>
        <v>8.7171717171717164E-2</v>
      </c>
      <c r="E70" s="70">
        <v>9</v>
      </c>
      <c r="F70" s="269">
        <f t="shared" si="5"/>
        <v>0.13722816046450215</v>
      </c>
      <c r="G70" s="126" t="s">
        <v>147</v>
      </c>
      <c r="H70" s="35"/>
      <c r="L70" s="34"/>
      <c r="M70" s="8"/>
    </row>
    <row r="71" spans="1:15" x14ac:dyDescent="0.2">
      <c r="A71" s="19">
        <v>70</v>
      </c>
      <c r="B71" s="304"/>
      <c r="C71" s="149" t="s">
        <v>118</v>
      </c>
      <c r="D71" s="92">
        <f>'Su imone_rangovu susije v.'!M46</f>
        <v>9.1616161616161623E-2</v>
      </c>
      <c r="E71" s="70">
        <v>6</v>
      </c>
      <c r="F71" s="269">
        <f t="shared" si="5"/>
        <v>0.14422472948007356</v>
      </c>
      <c r="G71" s="126">
        <v>45</v>
      </c>
      <c r="H71" s="35"/>
      <c r="L71" s="34"/>
      <c r="M71" s="8"/>
    </row>
    <row r="72" spans="1:15" ht="13.5" thickBot="1" x14ac:dyDescent="0.25">
      <c r="A72" s="19">
        <v>71</v>
      </c>
      <c r="B72" s="305"/>
      <c r="C72" s="274" t="s">
        <v>119</v>
      </c>
      <c r="D72" s="265">
        <f>'Su imone_rangovu susije v.'!N46</f>
        <v>8.813131313131313E-2</v>
      </c>
      <c r="E72" s="172">
        <v>7</v>
      </c>
      <c r="F72" s="270">
        <f t="shared" si="5"/>
        <v>0.13873878332013689</v>
      </c>
      <c r="G72" s="130">
        <v>54</v>
      </c>
      <c r="H72" s="35"/>
      <c r="L72" s="34"/>
      <c r="M72" s="8"/>
    </row>
  </sheetData>
  <sortState ref="A3:H72">
    <sortCondition descending="1" ref="F3"/>
  </sortState>
  <mergeCells count="7">
    <mergeCell ref="B62:B72"/>
    <mergeCell ref="B2:B9"/>
    <mergeCell ref="B10:B13"/>
    <mergeCell ref="B14:B29"/>
    <mergeCell ref="B30:B40"/>
    <mergeCell ref="B41:B53"/>
    <mergeCell ref="B54:B6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 imone_rangovu susije v.</vt:lpstr>
      <vt:lpstr>Su statytoju susije v.</vt:lpstr>
      <vt:lpstr>Su pr.vadovu susije v. </vt:lpstr>
      <vt:lpstr>Su proj.vald_komand sus.v.</vt:lpstr>
      <vt:lpstr>Su projektu susije v. </vt:lpstr>
      <vt:lpstr>Instituciniai v.</vt:lpstr>
      <vt:lpstr>Isoriniai  v.</vt:lpstr>
      <vt:lpstr>Grupiu vertinimas</vt:lpstr>
      <vt:lpstr>Bendra ekspertu eile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Neringa Gudienė</cp:lastModifiedBy>
  <cp:lastPrinted>2013-05-30T06:03:47Z</cp:lastPrinted>
  <dcterms:created xsi:type="dcterms:W3CDTF">2013-02-27T20:59:37Z</dcterms:created>
  <dcterms:modified xsi:type="dcterms:W3CDTF">2014-10-14T08:09:03Z</dcterms:modified>
</cp:coreProperties>
</file>